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gurca\Documents\ozel\satis\yeni_yönetmelige_gore_hesaplar(sifreli)\statik_hesaplar\"/>
    </mc:Choice>
  </mc:AlternateContent>
  <xr:revisionPtr revIDLastSave="0" documentId="13_ncr:1_{C8A640BE-7E7C-455D-906C-1C2467CCF38F}" xr6:coauthVersionLast="45" xr6:coauthVersionMax="45" xr10:uidLastSave="{00000000-0000-0000-0000-000000000000}"/>
  <bookViews>
    <workbookView xWindow="-120" yWindow="-120" windowWidth="29040" windowHeight="15840" xr2:uid="{B49DF40C-78DF-4067-8E94-08C6440EB74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28" i="1" l="1"/>
  <c r="AQ227" i="1"/>
  <c r="AL227" i="1"/>
  <c r="AI227" i="1"/>
  <c r="AF227" i="1"/>
  <c r="AC227" i="1"/>
  <c r="Z227" i="1"/>
  <c r="W227" i="1"/>
  <c r="R227" i="1"/>
  <c r="O227" i="1"/>
  <c r="L227" i="1"/>
  <c r="I227" i="1"/>
  <c r="F227" i="1"/>
  <c r="AQ226" i="1"/>
  <c r="I224" i="1"/>
  <c r="AP223" i="1"/>
  <c r="AK223" i="1"/>
  <c r="AH223" i="1"/>
  <c r="AE223" i="1"/>
  <c r="AB223" i="1"/>
  <c r="Y223" i="1"/>
  <c r="V223" i="1"/>
  <c r="Q223" i="1"/>
  <c r="N223" i="1"/>
  <c r="K223" i="1"/>
  <c r="H223" i="1"/>
  <c r="E223" i="1"/>
  <c r="AP222" i="1"/>
  <c r="I141" i="1"/>
  <c r="Z140" i="1"/>
  <c r="W140" i="1"/>
  <c r="AC140" i="1" s="1"/>
  <c r="R140" i="1"/>
  <c r="O140" i="1"/>
  <c r="L140" i="1"/>
  <c r="I140" i="1"/>
  <c r="F140" i="1"/>
  <c r="AC139" i="1"/>
  <c r="I137" i="1"/>
  <c r="AB136" i="1"/>
  <c r="AB135" i="1"/>
  <c r="Y136" i="1"/>
  <c r="V136" i="1"/>
  <c r="Q136" i="1"/>
  <c r="N136" i="1"/>
  <c r="K136" i="1"/>
  <c r="H136" i="1"/>
  <c r="E136" i="1"/>
  <c r="U145" i="1" l="1"/>
  <c r="L145" i="1"/>
  <c r="T143" i="1"/>
  <c r="K143" i="1"/>
  <c r="R139" i="1"/>
  <c r="I139" i="1"/>
  <c r="Q135" i="1"/>
  <c r="H135" i="1"/>
  <c r="R132" i="1"/>
  <c r="I132" i="1"/>
  <c r="Q129" i="1"/>
  <c r="H129" i="1"/>
  <c r="W125" i="1"/>
  <c r="N125" i="1"/>
  <c r="J122" i="1"/>
  <c r="F122" i="1"/>
  <c r="G123" i="1" s="1"/>
  <c r="AE120" i="1"/>
  <c r="W120" i="1"/>
  <c r="N120" i="1"/>
  <c r="V117" i="1"/>
  <c r="M117" i="1"/>
  <c r="F117" i="1"/>
  <c r="N115" i="1"/>
  <c r="H115" i="1"/>
  <c r="W113" i="1"/>
  <c r="N113" i="1"/>
  <c r="J110" i="1"/>
  <c r="F110" i="1"/>
  <c r="G111" i="1" s="1"/>
  <c r="AE108" i="1"/>
  <c r="W108" i="1"/>
  <c r="N108" i="1"/>
  <c r="V105" i="1"/>
  <c r="M105" i="1"/>
  <c r="F105" i="1"/>
  <c r="N103" i="1"/>
  <c r="H103" i="1"/>
  <c r="S99" i="1"/>
  <c r="P99" i="1"/>
  <c r="AA95" i="1"/>
  <c r="U95" i="1"/>
  <c r="P149" i="1"/>
  <c r="J149" i="1"/>
  <c r="P147" i="1"/>
  <c r="J147" i="1"/>
  <c r="AP145" i="1"/>
  <c r="AK145" i="1"/>
  <c r="AD145" i="1"/>
  <c r="X145" i="1"/>
  <c r="O145" i="1"/>
  <c r="R145" i="1" s="1"/>
  <c r="I145" i="1"/>
  <c r="AO143" i="1"/>
  <c r="AJ143" i="1"/>
  <c r="AC143" i="1"/>
  <c r="W143" i="1"/>
  <c r="N143" i="1"/>
  <c r="Q143" i="1" s="1"/>
  <c r="H143" i="1"/>
  <c r="X139" i="1"/>
  <c r="O139" i="1"/>
  <c r="L139" i="1"/>
  <c r="W135" i="1"/>
  <c r="N135" i="1"/>
  <c r="K135" i="1"/>
  <c r="X132" i="1"/>
  <c r="O132" i="1"/>
  <c r="L132" i="1"/>
  <c r="W129" i="1"/>
  <c r="N129" i="1"/>
  <c r="K129" i="1"/>
  <c r="AM125" i="1"/>
  <c r="AM120" i="1"/>
  <c r="AM113" i="1"/>
  <c r="AM108" i="1"/>
  <c r="V99" i="1"/>
  <c r="K99" i="1"/>
  <c r="H99" i="1"/>
  <c r="AG95" i="1"/>
  <c r="AD95" i="1"/>
  <c r="X95" i="1"/>
  <c r="P95" i="1"/>
  <c r="M95" i="1"/>
  <c r="J95" i="1"/>
  <c r="G95" i="1"/>
  <c r="D95" i="1"/>
  <c r="P238" i="1"/>
  <c r="J238" i="1"/>
  <c r="P236" i="1"/>
  <c r="J236" i="1"/>
  <c r="N234" i="1"/>
  <c r="I234" i="1"/>
  <c r="AY233" i="1"/>
  <c r="AS233" i="1"/>
  <c r="AP233" i="1"/>
  <c r="AK233" i="1"/>
  <c r="AD233" i="1"/>
  <c r="X233" i="1"/>
  <c r="U233" i="1"/>
  <c r="O233" i="1"/>
  <c r="R233" i="1" s="1"/>
  <c r="L233" i="1"/>
  <c r="I233" i="1"/>
  <c r="AJ230" i="1"/>
  <c r="AC230" i="1"/>
  <c r="W230" i="1"/>
  <c r="T230" i="1"/>
  <c r="N231" i="1"/>
  <c r="I231" i="1"/>
  <c r="AX230" i="1"/>
  <c r="AR230" i="1"/>
  <c r="AO230" i="1"/>
  <c r="N230" i="1"/>
  <c r="Q230" i="1" s="1"/>
  <c r="K230" i="1"/>
  <c r="H230" i="1"/>
  <c r="C118" i="1" l="1"/>
  <c r="C106" i="1"/>
  <c r="D96" i="1"/>
  <c r="I86" i="1" s="1"/>
  <c r="AL226" i="1"/>
  <c r="AC226" i="1"/>
  <c r="X226" i="1"/>
  <c r="R226" i="1"/>
  <c r="O226" i="1"/>
  <c r="L226" i="1"/>
  <c r="I226" i="1"/>
  <c r="AK222" i="1"/>
  <c r="AB222" i="1"/>
  <c r="W222" i="1"/>
  <c r="Q222" i="1"/>
  <c r="N222" i="1"/>
  <c r="K222" i="1"/>
  <c r="H222" i="1"/>
  <c r="AL219" i="1"/>
  <c r="AC219" i="1"/>
  <c r="X219" i="1"/>
  <c r="R219" i="1"/>
  <c r="O219" i="1"/>
  <c r="L219" i="1"/>
  <c r="I219" i="1"/>
  <c r="AK216" i="1"/>
  <c r="AB216" i="1"/>
  <c r="W216" i="1"/>
  <c r="N216" i="1"/>
  <c r="Q216" i="1"/>
  <c r="K216" i="1"/>
  <c r="H216" i="1"/>
  <c r="AS211" i="1" l="1"/>
  <c r="AP211" i="1"/>
  <c r="X208" i="1"/>
  <c r="T208" i="1"/>
  <c r="AS205" i="1"/>
  <c r="AM205" i="1"/>
  <c r="AC202" i="1"/>
  <c r="Y202" i="1"/>
  <c r="AS197" i="1"/>
  <c r="AP197" i="1"/>
  <c r="X194" i="1"/>
  <c r="T194" i="1"/>
  <c r="AS191" i="1"/>
  <c r="AM191" i="1"/>
  <c r="AC188" i="1"/>
  <c r="Y188" i="1"/>
  <c r="K182" i="1"/>
  <c r="H182" i="1"/>
  <c r="U178" i="1"/>
  <c r="P178" i="1"/>
  <c r="M178" i="1"/>
  <c r="L212" i="1"/>
  <c r="W211" i="1"/>
  <c r="N211" i="1"/>
  <c r="J208" i="1"/>
  <c r="F208" i="1"/>
  <c r="G209" i="1" s="1"/>
  <c r="L206" i="1"/>
  <c r="AE205" i="1"/>
  <c r="W205" i="1"/>
  <c r="N205" i="1"/>
  <c r="V202" i="1"/>
  <c r="M202" i="1"/>
  <c r="F202" i="1"/>
  <c r="N200" i="1"/>
  <c r="H200" i="1"/>
  <c r="L198" i="1"/>
  <c r="W197" i="1"/>
  <c r="N197" i="1"/>
  <c r="J194" i="1"/>
  <c r="F194" i="1"/>
  <c r="G195" i="1" s="1"/>
  <c r="L192" i="1"/>
  <c r="AE191" i="1"/>
  <c r="W191" i="1"/>
  <c r="N191" i="1"/>
  <c r="V188" i="1"/>
  <c r="M188" i="1"/>
  <c r="F188" i="1"/>
  <c r="N186" i="1"/>
  <c r="H186" i="1"/>
  <c r="AD182" i="1"/>
  <c r="AA182" i="1"/>
  <c r="X182" i="1"/>
  <c r="S182" i="1"/>
  <c r="P182" i="1"/>
  <c r="AR178" i="1"/>
  <c r="AO178" i="1"/>
  <c r="AL178" i="1"/>
  <c r="AI178" i="1"/>
  <c r="AF178" i="1"/>
  <c r="AA178" i="1"/>
  <c r="X178" i="1"/>
  <c r="J178" i="1"/>
  <c r="G178" i="1"/>
  <c r="D178" i="1"/>
  <c r="K170" i="1"/>
  <c r="T191" i="1" s="1"/>
  <c r="C189" i="1" l="1"/>
  <c r="G189" i="1"/>
  <c r="D179" i="1"/>
  <c r="I169" i="1" s="1"/>
  <c r="C203" i="1"/>
  <c r="G203" i="1"/>
  <c r="K186" i="1"/>
  <c r="N194" i="1"/>
  <c r="C195" i="1" s="1"/>
  <c r="AU230" i="1"/>
  <c r="Z230" i="1"/>
  <c r="T222" i="1"/>
  <c r="AH216" i="1"/>
  <c r="T216" i="1"/>
  <c r="Y186" i="1"/>
  <c r="J188" i="1"/>
  <c r="S188" i="1"/>
  <c r="Z197" i="1"/>
  <c r="Q186" i="1"/>
  <c r="V170" i="1"/>
  <c r="K87" i="1"/>
  <c r="V87" i="1" l="1"/>
  <c r="N110" i="1"/>
  <c r="C111" i="1" s="1"/>
  <c r="T108" i="1"/>
  <c r="T129" i="1"/>
  <c r="S105" i="1"/>
  <c r="T135" i="1"/>
  <c r="J105" i="1"/>
  <c r="Q103" i="1"/>
  <c r="K103" i="1"/>
  <c r="Z143" i="1"/>
  <c r="Z113" i="1"/>
  <c r="E230" i="1"/>
  <c r="Q231" i="1" s="1"/>
  <c r="M236" i="1"/>
  <c r="U236" i="1" s="1"/>
  <c r="AA233" i="1"/>
  <c r="AV233" i="1"/>
  <c r="AI219" i="1"/>
  <c r="U226" i="1"/>
  <c r="AI226" i="1"/>
  <c r="U219" i="1"/>
  <c r="AH222" i="1"/>
  <c r="Y200" i="1"/>
  <c r="T205" i="1"/>
  <c r="W153" i="1"/>
  <c r="E191" i="1"/>
  <c r="E222" i="1"/>
  <c r="E216" i="1"/>
  <c r="E197" i="1"/>
  <c r="C188" i="1"/>
  <c r="K189" i="1" s="1"/>
  <c r="E186" i="1"/>
  <c r="C194" i="1"/>
  <c r="K195" i="1" s="1"/>
  <c r="U195" i="1" s="1"/>
  <c r="E182" i="1"/>
  <c r="J202" i="1"/>
  <c r="Q200" i="1"/>
  <c r="Z211" i="1"/>
  <c r="K200" i="1"/>
  <c r="S202" i="1"/>
  <c r="N208" i="1"/>
  <c r="C209" i="1" s="1"/>
  <c r="AA145" i="1" l="1"/>
  <c r="Q115" i="1"/>
  <c r="U139" i="1"/>
  <c r="S117" i="1"/>
  <c r="K115" i="1"/>
  <c r="N122" i="1"/>
  <c r="C123" i="1" s="1"/>
  <c r="J117" i="1"/>
  <c r="U132" i="1"/>
  <c r="T120" i="1"/>
  <c r="Z125" i="1"/>
  <c r="C105" i="1"/>
  <c r="G106" i="1" s="1"/>
  <c r="D107" i="1" s="1"/>
  <c r="E103" i="1"/>
  <c r="V103" i="1" s="1"/>
  <c r="C110" i="1"/>
  <c r="K111" i="1" s="1"/>
  <c r="E108" i="1"/>
  <c r="E143" i="1"/>
  <c r="AR143" i="1" s="1"/>
  <c r="E135" i="1"/>
  <c r="E129" i="1"/>
  <c r="E130" i="1" s="1"/>
  <c r="E99" i="1"/>
  <c r="D100" i="1" s="1"/>
  <c r="Y86" i="1" s="1"/>
  <c r="E113" i="1"/>
  <c r="M147" i="1"/>
  <c r="U147" i="1" s="1"/>
  <c r="AE222" i="1"/>
  <c r="AF219" i="1"/>
  <c r="AE216" i="1"/>
  <c r="E217" i="1" s="1"/>
  <c r="AF226" i="1"/>
  <c r="V200" i="1"/>
  <c r="V186" i="1"/>
  <c r="AD186" i="1" s="1"/>
  <c r="D183" i="1"/>
  <c r="Y169" i="1" s="1"/>
  <c r="AB189" i="1"/>
  <c r="U189" i="1"/>
  <c r="AB195" i="1"/>
  <c r="D196" i="1" s="1"/>
  <c r="F233" i="1" l="1"/>
  <c r="Q234" i="1" s="1"/>
  <c r="M238" i="1"/>
  <c r="U238" i="1" s="1"/>
  <c r="F145" i="1"/>
  <c r="AS145" i="1" s="1"/>
  <c r="C122" i="1"/>
  <c r="K123" i="1" s="1"/>
  <c r="AB123" i="1" s="1"/>
  <c r="E120" i="1"/>
  <c r="M149" i="1"/>
  <c r="U149" i="1" s="1"/>
  <c r="E115" i="1"/>
  <c r="V115" i="1" s="1"/>
  <c r="E125" i="1"/>
  <c r="F139" i="1"/>
  <c r="F132" i="1"/>
  <c r="F133" i="1" s="1"/>
  <c r="C117" i="1"/>
  <c r="G118" i="1" s="1"/>
  <c r="D119" i="1" s="1"/>
  <c r="U111" i="1"/>
  <c r="AB111" i="1"/>
  <c r="I127" i="1"/>
  <c r="O127" i="1"/>
  <c r="E200" i="1"/>
  <c r="AD200" i="1" s="1"/>
  <c r="F226" i="1"/>
  <c r="F219" i="1"/>
  <c r="F220" i="1" s="1"/>
  <c r="I214" i="1"/>
  <c r="E205" i="1"/>
  <c r="C202" i="1"/>
  <c r="E211" i="1"/>
  <c r="H197" i="1"/>
  <c r="AM197" i="1"/>
  <c r="AV197" i="1" s="1"/>
  <c r="G198" i="1" s="1"/>
  <c r="D190" i="1"/>
  <c r="C208" i="1"/>
  <c r="Q197" i="1"/>
  <c r="AH197" i="1"/>
  <c r="T197" i="1"/>
  <c r="AC197" i="1"/>
  <c r="U123" i="1" l="1"/>
  <c r="D124" i="1" s="1"/>
  <c r="D112" i="1"/>
  <c r="T113" i="1" s="1"/>
  <c r="H108" i="1"/>
  <c r="AH108" i="1"/>
  <c r="AB108" i="1"/>
  <c r="Q108" i="1"/>
  <c r="K209" i="1"/>
  <c r="K203" i="1"/>
  <c r="AV191" i="1"/>
  <c r="G192" i="1" s="1"/>
  <c r="AP191" i="1"/>
  <c r="O198" i="1"/>
  <c r="H191" i="1"/>
  <c r="Q191" i="1"/>
  <c r="AH191" i="1"/>
  <c r="AB191" i="1"/>
  <c r="AH113" i="1" l="1"/>
  <c r="Q113" i="1"/>
  <c r="AC113" i="1"/>
  <c r="H113" i="1"/>
  <c r="AP108" i="1"/>
  <c r="I126" i="1"/>
  <c r="AH120" i="1"/>
  <c r="AB120" i="1"/>
  <c r="Q120" i="1"/>
  <c r="H120" i="1"/>
  <c r="T125" i="1"/>
  <c r="Q125" i="1"/>
  <c r="H125" i="1"/>
  <c r="AH125" i="1"/>
  <c r="AC125" i="1"/>
  <c r="AB203" i="1"/>
  <c r="U203" i="1"/>
  <c r="O192" i="1"/>
  <c r="U209" i="1"/>
  <c r="AB209" i="1"/>
  <c r="P71" i="1"/>
  <c r="J71" i="1"/>
  <c r="P69" i="1"/>
  <c r="J69" i="1"/>
  <c r="AP66" i="1"/>
  <c r="AK66" i="1"/>
  <c r="AD66" i="1"/>
  <c r="X66" i="1"/>
  <c r="U66" i="1"/>
  <c r="O66" i="1"/>
  <c r="R66" i="1" s="1"/>
  <c r="L66" i="1"/>
  <c r="I66" i="1"/>
  <c r="AO63" i="1"/>
  <c r="AJ63" i="1"/>
  <c r="AC63" i="1"/>
  <c r="W63" i="1"/>
  <c r="T63" i="1"/>
  <c r="N63" i="1"/>
  <c r="Q63" i="1" s="1"/>
  <c r="K63" i="1"/>
  <c r="H63" i="1"/>
  <c r="X60" i="1"/>
  <c r="R60" i="1"/>
  <c r="O60" i="1"/>
  <c r="L60" i="1"/>
  <c r="I60" i="1"/>
  <c r="W57" i="1"/>
  <c r="Q57" i="1"/>
  <c r="N57" i="1"/>
  <c r="K57" i="1"/>
  <c r="H57" i="1"/>
  <c r="AM46" i="1"/>
  <c r="T46" i="1"/>
  <c r="N46" i="1"/>
  <c r="M43" i="1"/>
  <c r="F43" i="1"/>
  <c r="G44" i="1" s="1"/>
  <c r="X54" i="1"/>
  <c r="R54" i="1"/>
  <c r="O54" i="1"/>
  <c r="L54" i="1"/>
  <c r="I54" i="1"/>
  <c r="W51" i="1"/>
  <c r="Q51" i="1"/>
  <c r="N51" i="1"/>
  <c r="K51" i="1"/>
  <c r="H51" i="1"/>
  <c r="AM39" i="1"/>
  <c r="T39" i="1"/>
  <c r="N39" i="1"/>
  <c r="M36" i="1"/>
  <c r="F36" i="1"/>
  <c r="G37" i="1" s="1"/>
  <c r="AP120" i="1" l="1"/>
  <c r="AP125" i="1"/>
  <c r="AP113" i="1"/>
  <c r="D204" i="1"/>
  <c r="D210" i="1"/>
  <c r="S31" i="1"/>
  <c r="P31" i="1"/>
  <c r="K31" i="1"/>
  <c r="H31" i="1"/>
  <c r="AA27" i="1"/>
  <c r="X27" i="1"/>
  <c r="P27" i="1"/>
  <c r="M27" i="1"/>
  <c r="J27" i="1"/>
  <c r="G27" i="1"/>
  <c r="D27" i="1"/>
  <c r="U19" i="1"/>
  <c r="Q36" i="1" s="1"/>
  <c r="C37" i="1" s="1"/>
  <c r="M19" i="1"/>
  <c r="Q43" i="1" s="1"/>
  <c r="C44" i="1" s="1"/>
  <c r="AV205" i="1" l="1"/>
  <c r="G206" i="1" s="1"/>
  <c r="O214" i="1"/>
  <c r="AB205" i="1"/>
  <c r="H205" i="1"/>
  <c r="Q205" i="1"/>
  <c r="AH205" i="1"/>
  <c r="AP205" i="1"/>
  <c r="AM211" i="1"/>
  <c r="AV211" i="1" s="1"/>
  <c r="G212" i="1" s="1"/>
  <c r="T211" i="1"/>
  <c r="Q211" i="1"/>
  <c r="H211" i="1"/>
  <c r="AH211" i="1"/>
  <c r="AC211" i="1"/>
  <c r="T57" i="1"/>
  <c r="Z63" i="1"/>
  <c r="U54" i="1"/>
  <c r="AA66" i="1"/>
  <c r="U60" i="1"/>
  <c r="Z46" i="1"/>
  <c r="T51" i="1"/>
  <c r="AD27" i="1"/>
  <c r="Z39" i="1"/>
  <c r="U27" i="1"/>
  <c r="O206" i="1" l="1"/>
  <c r="I213" i="1" s="1"/>
  <c r="O212" i="1"/>
  <c r="D28" i="1"/>
  <c r="I18" i="1" l="1"/>
  <c r="E63" i="1" s="1"/>
  <c r="E64" i="1" s="1"/>
  <c r="E31" i="1"/>
  <c r="D32" i="1" s="1"/>
  <c r="Y18" i="1" s="1"/>
  <c r="F54" i="1" s="1"/>
  <c r="F55" i="1" s="1"/>
  <c r="C43" i="1" l="1"/>
  <c r="K44" i="1" s="1"/>
  <c r="AB44" i="1" s="1"/>
  <c r="E46" i="1"/>
  <c r="E51" i="1"/>
  <c r="E52" i="1" s="1"/>
  <c r="M69" i="1"/>
  <c r="U69" i="1" s="1"/>
  <c r="E57" i="1"/>
  <c r="E58" i="1" s="1"/>
  <c r="F60" i="1"/>
  <c r="F61" i="1" s="1"/>
  <c r="F66" i="1"/>
  <c r="F67" i="1" s="1"/>
  <c r="I49" i="1"/>
  <c r="M71" i="1"/>
  <c r="U71" i="1" s="1"/>
  <c r="C36" i="1"/>
  <c r="K37" i="1" s="1"/>
  <c r="E39" i="1"/>
  <c r="U44" i="1" l="1"/>
  <c r="D45" i="1" s="1"/>
  <c r="H46" i="1" s="1"/>
  <c r="AB37" i="1"/>
  <c r="U37" i="1"/>
  <c r="D38" i="1" s="1"/>
  <c r="W39" i="1" s="1"/>
  <c r="W46" i="1" l="1"/>
  <c r="AH46" i="1"/>
  <c r="AC46" i="1"/>
  <c r="Q46" i="1"/>
  <c r="H39" i="1"/>
  <c r="O49" i="1"/>
  <c r="Q39" i="1"/>
  <c r="AC39" i="1"/>
  <c r="AH39" i="1"/>
  <c r="E47" i="1" l="1"/>
  <c r="E40" i="1"/>
  <c r="I48" i="1" s="1"/>
</calcChain>
</file>

<file path=xl/sharedStrings.xml><?xml version="1.0" encoding="utf-8"?>
<sst xmlns="http://schemas.openxmlformats.org/spreadsheetml/2006/main" count="940" uniqueCount="79">
  <si>
    <t>m</t>
  </si>
  <si>
    <t>KN/m</t>
  </si>
  <si>
    <t>KNm</t>
  </si>
  <si>
    <t>A=</t>
  </si>
  <si>
    <t>KN</t>
  </si>
  <si>
    <t>B=</t>
  </si>
  <si>
    <t>A*</t>
  </si>
  <si>
    <t>+</t>
  </si>
  <si>
    <t>-</t>
  </si>
  <si>
    <t>*</t>
  </si>
  <si>
    <t xml:space="preserve"> /</t>
  </si>
  <si>
    <t>=</t>
  </si>
  <si>
    <t>Vx = 0</t>
  </si>
  <si>
    <t>* x +</t>
  </si>
  <si>
    <t>* x² /</t>
  </si>
  <si>
    <t>x=</t>
  </si>
  <si>
    <t>* x² +</t>
  </si>
  <si>
    <t>²-</t>
  </si>
  <si>
    <t>Maç =</t>
  </si>
  <si>
    <t>B mesnedine göre moment dengesinden</t>
  </si>
  <si>
    <t>düşey kuvvet dengesinden</t>
  </si>
  <si>
    <t>mesnet genişliği</t>
  </si>
  <si>
    <t>m.</t>
  </si>
  <si>
    <t>d=</t>
  </si>
  <si>
    <t>Vsol =</t>
  </si>
  <si>
    <t>Vsağ =</t>
  </si>
  <si>
    <t xml:space="preserve">sağ mesnet tepkisi küçük ise </t>
  </si>
  <si>
    <t xml:space="preserve">sol mesnet tepkisi küçük ise </t>
  </si>
  <si>
    <t>açıklık momenti yeri</t>
  </si>
  <si>
    <t>Sol mesnet tepkisi</t>
  </si>
  <si>
    <t>Sağ mesnet tepkisi</t>
  </si>
  <si>
    <t>Sol mesnet yüzü kesme kuvveti</t>
  </si>
  <si>
    <t>Sağ mesnet yüzü kesme kuvveti</t>
  </si>
  <si>
    <t>Sol menet yüzünden d mesafede kesme kuvveti</t>
  </si>
  <si>
    <t>Sağ menet yüzünden d mesafede kesme kuvveti</t>
  </si>
  <si>
    <t>kiriş enkesiti</t>
  </si>
  <si>
    <r>
      <t xml:space="preserve">kullanılacak </t>
    </r>
    <r>
      <rPr>
        <b/>
        <sz val="8"/>
        <color theme="1"/>
        <rFont val="Arial"/>
        <family val="2"/>
        <charset val="162"/>
      </rPr>
      <t>Maç =</t>
    </r>
  </si>
  <si>
    <r>
      <rPr>
        <b/>
        <sz val="8"/>
        <color theme="1"/>
        <rFont val="Arial"/>
        <family val="2"/>
        <charset val="162"/>
      </rPr>
      <t>m.</t>
    </r>
    <r>
      <rPr>
        <sz val="8"/>
        <color theme="1"/>
        <rFont val="Arial"/>
        <family val="2"/>
        <charset val="162"/>
      </rPr>
      <t xml:space="preserve"> mesafededir.</t>
    </r>
  </si>
  <si>
    <t>Sol mesnet yüzü momenti</t>
  </si>
  <si>
    <t>Msol =</t>
  </si>
  <si>
    <t>Sağ mesnet yüzü momenti</t>
  </si>
  <si>
    <t>Sol mesnet yüzü momenti (TS500 'e göre )</t>
  </si>
  <si>
    <t>Msol  = M - A * a / 3 =</t>
  </si>
  <si>
    <t>a=</t>
  </si>
  <si>
    <t>b=</t>
  </si>
  <si>
    <t>Msağ  = M - B * b / 3 =</t>
  </si>
  <si>
    <t>Dikkat sadece sarı hücrelere data girilecek.</t>
  </si>
  <si>
    <t xml:space="preserve"> -(</t>
  </si>
  <si>
    <t>) /</t>
  </si>
  <si>
    <t xml:space="preserve"> )/</t>
  </si>
  <si>
    <t>V1=</t>
  </si>
  <si>
    <t>sol mesnet tepkisi küçük ise max moment A mesnedi ile 2 kesiti arasındadır.V1 kuvveti A mesnet tepkisiyle aynı işaretli ise max mom 1 ile 2 arasındadır.</t>
  </si>
  <si>
    <t>* x -</t>
  </si>
  <si>
    <t xml:space="preserve"> - ( x -</t>
  </si>
  <si>
    <t>)*</t>
  </si>
  <si>
    <t>B +</t>
  </si>
  <si>
    <t xml:space="preserve">B + </t>
  </si>
  <si>
    <t>* x /</t>
  </si>
  <si>
    <t xml:space="preserve">* x / </t>
  </si>
  <si>
    <t>² /</t>
  </si>
  <si>
    <t>sağ mesnet tepkisi küçük ise max moment B mesnedi ile 2 kesiti arasındadır.V3 kuvveti B mesnet tepkisiyle aynı işaretli ise max mom 3 ile 2 arasındadır.</t>
  </si>
  <si>
    <t>V3=</t>
  </si>
  <si>
    <t>max moment 1 noktası ile 2  noktası arasında ise Vx = 0</t>
  </si>
  <si>
    <t>max moment A noktası ile 1  noktası arasında ise Vx = 0</t>
  </si>
  <si>
    <t>max moment 3 noktası ile 2  noktası arasında ise Vx = 0</t>
  </si>
  <si>
    <t>max moment B noktası ile 3  noktası arasında ise Vx = 0</t>
  </si>
  <si>
    <t>DÜZGÜN YAYILI YÜK + ÜÇGEN YAYILI YÜK DURUMU</t>
  </si>
  <si>
    <t>DÜZGÜN YAYILI YÜK + TRAPEZ YAYILI YÜK DURUMU</t>
  </si>
  <si>
    <t xml:space="preserve">Max açıklık momenti ve yeri </t>
  </si>
  <si>
    <t>Sağ mesnet yüzü momenti (TS500 'e göre )</t>
  </si>
  <si>
    <t>Msağ =</t>
  </si>
  <si>
    <t>DÜZGÜN YAYILI YÜK + ÜÇGEN YAYILI YÜK + TRAPEZ YAYILI YÜK DURUMU</t>
  </si>
  <si>
    <t>* x  /</t>
  </si>
  <si>
    <t xml:space="preserve"> * x /</t>
  </si>
  <si>
    <t>(sol mesnetten uzaklık)</t>
  </si>
  <si>
    <t>(sağ mesnetten uzaklık)</t>
  </si>
  <si>
    <r>
      <rPr>
        <b/>
        <sz val="12"/>
        <color theme="7" tint="-0.499984740745262"/>
        <rFont val="Arial"/>
        <family val="2"/>
        <charset val="162"/>
      </rPr>
      <t xml:space="preserve">DÖŞEMEDEN GELEN YÜKLERLE KİRİŞTEKİ KESİT DEĞERLERİ HESABI
</t>
    </r>
    <r>
      <rPr>
        <b/>
        <sz val="8"/>
        <color theme="7" tint="-0.499984740745262"/>
        <rFont val="Arial"/>
        <family val="2"/>
        <charset val="162"/>
      </rPr>
      <t xml:space="preserve">(inş.müh. Gürcan BERBEROĞLU tel:0532 366 02 04   www.betoncelik.com )                                                                                                                                                                     </t>
    </r>
  </si>
  <si>
    <t>kullanılacak  Vsol =</t>
  </si>
  <si>
    <t>kullanılacak  Vsağ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</si>
</sst>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theme="1"/>
      <name val="Arial"/>
      <family val="2"/>
      <charset val="162"/>
    </font>
    <font>
      <b/>
      <sz val="8"/>
      <color theme="1"/>
      <name val="Arial"/>
      <family val="2"/>
      <charset val="162"/>
    </font>
    <font>
      <i/>
      <u/>
      <sz val="8"/>
      <color theme="1"/>
      <name val="Arial"/>
      <family val="2"/>
      <charset val="162"/>
    </font>
    <font>
      <u/>
      <sz val="8"/>
      <color theme="1"/>
      <name val="Arial"/>
      <family val="2"/>
      <charset val="162"/>
    </font>
    <font>
      <b/>
      <sz val="8"/>
      <color theme="7" tint="-0.499984740745262"/>
      <name val="Arial"/>
      <family val="2"/>
      <charset val="162"/>
    </font>
    <font>
      <b/>
      <sz val="12"/>
      <color theme="7" tint="-0.499984740745262"/>
      <name val="Arial"/>
      <family val="2"/>
      <charset val="162"/>
    </font>
    <font>
      <b/>
      <sz val="8"/>
      <color rgb="FFFF0000"/>
      <name val="Arial"/>
      <family val="2"/>
      <charset val="162"/>
    </font>
    <font>
      <b/>
      <i/>
      <u/>
      <sz val="10"/>
      <color theme="1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0" fillId="0" borderId="0" xfId="0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0" fillId="0" borderId="4" xfId="0" applyFill="1" applyBorder="1" applyAlignment="1" applyProtection="1">
      <alignment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5" xfId="0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0" fillId="0" borderId="5" xfId="0" applyFill="1" applyBorder="1" applyAlignment="1" applyProtection="1">
      <alignment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vertical="center"/>
      <protection hidden="1"/>
    </xf>
    <xf numFmtId="0" fontId="0" fillId="0" borderId="7" xfId="0" applyBorder="1" applyAlignment="1" applyProtection="1">
      <alignment vertical="center"/>
      <protection hidden="1"/>
    </xf>
    <xf numFmtId="0" fontId="0" fillId="0" borderId="8" xfId="0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/>
      <protection hidden="1"/>
    </xf>
    <xf numFmtId="0" fontId="4" fillId="3" borderId="3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128588</xdr:colOff>
      <xdr:row>4</xdr:row>
      <xdr:rowOff>133350</xdr:rowOff>
    </xdr:from>
    <xdr:to>
      <xdr:col>27</xdr:col>
      <xdr:colOff>14288</xdr:colOff>
      <xdr:row>23</xdr:row>
      <xdr:rowOff>76200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EEF9F97-13B6-4D7A-B7D0-2664C185BB28}"/>
            </a:ext>
          </a:extLst>
        </xdr:cNvPr>
        <xdr:cNvGrpSpPr/>
      </xdr:nvGrpSpPr>
      <xdr:grpSpPr>
        <a:xfrm>
          <a:off x="1100138" y="1114425"/>
          <a:ext cx="3286125" cy="2657475"/>
          <a:chOff x="1100138" y="1114425"/>
          <a:chExt cx="3286125" cy="2657475"/>
        </a:xfrm>
      </xdr:grpSpPr>
      <xdr:sp macro="" textlink="">
        <xdr:nvSpPr>
          <xdr:cNvPr id="2" name="Isosceles Triangle 1">
            <a:extLst>
              <a:ext uri="{FF2B5EF4-FFF2-40B4-BE49-F238E27FC236}">
                <a16:creationId xmlns:a16="http://schemas.microsoft.com/office/drawing/2014/main" id="{B81159DE-90CF-42BA-A0E5-B58834B83EDD}"/>
              </a:ext>
            </a:extLst>
          </xdr:cNvPr>
          <xdr:cNvSpPr/>
        </xdr:nvSpPr>
        <xdr:spPr>
          <a:xfrm>
            <a:off x="1362072" y="2276475"/>
            <a:ext cx="190503" cy="138113"/>
          </a:xfrm>
          <a:prstGeom prst="triangle">
            <a:avLst/>
          </a:prstGeom>
          <a:solidFill>
            <a:schemeClr val="bg1">
              <a:lumMod val="8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3" name="Isosceles Triangle 2">
            <a:extLst>
              <a:ext uri="{FF2B5EF4-FFF2-40B4-BE49-F238E27FC236}">
                <a16:creationId xmlns:a16="http://schemas.microsoft.com/office/drawing/2014/main" id="{A76A52F6-A50D-447D-ABF3-F66DF36DB8E2}"/>
              </a:ext>
            </a:extLst>
          </xdr:cNvPr>
          <xdr:cNvSpPr/>
        </xdr:nvSpPr>
        <xdr:spPr>
          <a:xfrm>
            <a:off x="3948109" y="2271712"/>
            <a:ext cx="195263" cy="104776"/>
          </a:xfrm>
          <a:prstGeom prst="triangle">
            <a:avLst/>
          </a:prstGeom>
          <a:solidFill>
            <a:schemeClr val="bg1">
              <a:lumMod val="8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id="{468355AA-40D2-4635-9851-5E69A1D02EE2}"/>
              </a:ext>
            </a:extLst>
          </xdr:cNvPr>
          <xdr:cNvCxnSpPr/>
        </xdr:nvCxnSpPr>
        <xdr:spPr>
          <a:xfrm>
            <a:off x="1300163" y="2414588"/>
            <a:ext cx="323850" cy="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40D4EC9A-5B17-4427-B7F0-860E5F2D53E9}"/>
              </a:ext>
            </a:extLst>
          </xdr:cNvPr>
          <xdr:cNvSpPr/>
        </xdr:nvSpPr>
        <xdr:spPr>
          <a:xfrm>
            <a:off x="1300162" y="2424114"/>
            <a:ext cx="333376" cy="123824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id="{C89184BB-6E82-4DE4-B1B3-6D700FF9D975}"/>
              </a:ext>
            </a:extLst>
          </xdr:cNvPr>
          <xdr:cNvCxnSpPr/>
        </xdr:nvCxnSpPr>
        <xdr:spPr>
          <a:xfrm>
            <a:off x="3886201" y="2414588"/>
            <a:ext cx="323850" cy="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A9465BD5-165B-4153-97D4-D29A1BA67F6B}"/>
              </a:ext>
            </a:extLst>
          </xdr:cNvPr>
          <xdr:cNvSpPr/>
        </xdr:nvSpPr>
        <xdr:spPr>
          <a:xfrm>
            <a:off x="3886200" y="2424114"/>
            <a:ext cx="333376" cy="123824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AEDF8A59-57A5-4417-8330-78DE287326B9}"/>
              </a:ext>
            </a:extLst>
          </xdr:cNvPr>
          <xdr:cNvCxnSpPr/>
        </xdr:nvCxnSpPr>
        <xdr:spPr>
          <a:xfrm>
            <a:off x="1457326" y="2266951"/>
            <a:ext cx="2600324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Isosceles Triangle 14">
            <a:extLst>
              <a:ext uri="{FF2B5EF4-FFF2-40B4-BE49-F238E27FC236}">
                <a16:creationId xmlns:a16="http://schemas.microsoft.com/office/drawing/2014/main" id="{9027D817-004B-42E9-8657-A1DB742763FF}"/>
              </a:ext>
            </a:extLst>
          </xdr:cNvPr>
          <xdr:cNvSpPr/>
        </xdr:nvSpPr>
        <xdr:spPr>
          <a:xfrm>
            <a:off x="1457324" y="1133475"/>
            <a:ext cx="2590801" cy="704850"/>
          </a:xfrm>
          <a:prstGeom prst="triangle">
            <a:avLst/>
          </a:prstGeom>
          <a:noFill/>
          <a:ln w="6350"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7" name="Straight Arrow Connector 16">
            <a:extLst>
              <a:ext uri="{FF2B5EF4-FFF2-40B4-BE49-F238E27FC236}">
                <a16:creationId xmlns:a16="http://schemas.microsoft.com/office/drawing/2014/main" id="{5D96A573-22A3-4C54-9465-E136007FAD15}"/>
              </a:ext>
            </a:extLst>
          </xdr:cNvPr>
          <xdr:cNvCxnSpPr/>
        </xdr:nvCxnSpPr>
        <xdr:spPr>
          <a:xfrm>
            <a:off x="2752726" y="1138238"/>
            <a:ext cx="0" cy="69532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Straight Arrow Connector 18">
            <a:extLst>
              <a:ext uri="{FF2B5EF4-FFF2-40B4-BE49-F238E27FC236}">
                <a16:creationId xmlns:a16="http://schemas.microsoft.com/office/drawing/2014/main" id="{1BA4D0F9-64A4-466E-8F6E-31C6EA38834C}"/>
              </a:ext>
            </a:extLst>
          </xdr:cNvPr>
          <xdr:cNvCxnSpPr/>
        </xdr:nvCxnSpPr>
        <xdr:spPr>
          <a:xfrm>
            <a:off x="2590801" y="1219200"/>
            <a:ext cx="0" cy="61912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Straight Arrow Connector 19">
            <a:extLst>
              <a:ext uri="{FF2B5EF4-FFF2-40B4-BE49-F238E27FC236}">
                <a16:creationId xmlns:a16="http://schemas.microsoft.com/office/drawing/2014/main" id="{BD268517-8B67-4FB9-A507-0779A77EE160}"/>
              </a:ext>
            </a:extLst>
          </xdr:cNvPr>
          <xdr:cNvCxnSpPr/>
        </xdr:nvCxnSpPr>
        <xdr:spPr>
          <a:xfrm>
            <a:off x="2428876" y="1309688"/>
            <a:ext cx="0" cy="52387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Straight Arrow Connector 20">
            <a:extLst>
              <a:ext uri="{FF2B5EF4-FFF2-40B4-BE49-F238E27FC236}">
                <a16:creationId xmlns:a16="http://schemas.microsoft.com/office/drawing/2014/main" id="{B246A68A-DEF0-4718-9206-379B39755879}"/>
              </a:ext>
            </a:extLst>
          </xdr:cNvPr>
          <xdr:cNvCxnSpPr/>
        </xdr:nvCxnSpPr>
        <xdr:spPr>
          <a:xfrm>
            <a:off x="2266951" y="1390650"/>
            <a:ext cx="0" cy="4429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Straight Arrow Connector 21">
            <a:extLst>
              <a:ext uri="{FF2B5EF4-FFF2-40B4-BE49-F238E27FC236}">
                <a16:creationId xmlns:a16="http://schemas.microsoft.com/office/drawing/2014/main" id="{91C1DD2F-1350-4102-B385-A4EFD885EB01}"/>
              </a:ext>
            </a:extLst>
          </xdr:cNvPr>
          <xdr:cNvCxnSpPr/>
        </xdr:nvCxnSpPr>
        <xdr:spPr>
          <a:xfrm>
            <a:off x="2105026" y="1485900"/>
            <a:ext cx="0" cy="3571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Straight Arrow Connector 26">
            <a:extLst>
              <a:ext uri="{FF2B5EF4-FFF2-40B4-BE49-F238E27FC236}">
                <a16:creationId xmlns:a16="http://schemas.microsoft.com/office/drawing/2014/main" id="{3E9D3465-7AA9-46CC-B901-353B49132B79}"/>
              </a:ext>
            </a:extLst>
          </xdr:cNvPr>
          <xdr:cNvCxnSpPr/>
        </xdr:nvCxnSpPr>
        <xdr:spPr>
          <a:xfrm>
            <a:off x="1943101" y="1576388"/>
            <a:ext cx="0" cy="25717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Straight Arrow Connector 28">
            <a:extLst>
              <a:ext uri="{FF2B5EF4-FFF2-40B4-BE49-F238E27FC236}">
                <a16:creationId xmlns:a16="http://schemas.microsoft.com/office/drawing/2014/main" id="{55EB696E-C659-491A-9F2A-B5E88A5FD11C}"/>
              </a:ext>
            </a:extLst>
          </xdr:cNvPr>
          <xdr:cNvCxnSpPr/>
        </xdr:nvCxnSpPr>
        <xdr:spPr>
          <a:xfrm>
            <a:off x="1781176" y="1666875"/>
            <a:ext cx="0" cy="1714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Straight Arrow Connector 30">
            <a:extLst>
              <a:ext uri="{FF2B5EF4-FFF2-40B4-BE49-F238E27FC236}">
                <a16:creationId xmlns:a16="http://schemas.microsoft.com/office/drawing/2014/main" id="{EFF44D8D-F837-40AE-BEA3-D5B24C4BCE22}"/>
              </a:ext>
            </a:extLst>
          </xdr:cNvPr>
          <xdr:cNvCxnSpPr/>
        </xdr:nvCxnSpPr>
        <xdr:spPr>
          <a:xfrm>
            <a:off x="1619251" y="1743075"/>
            <a:ext cx="0" cy="1000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Straight Arrow Connector 32">
            <a:extLst>
              <a:ext uri="{FF2B5EF4-FFF2-40B4-BE49-F238E27FC236}">
                <a16:creationId xmlns:a16="http://schemas.microsoft.com/office/drawing/2014/main" id="{4081E59B-20F7-43BA-9273-FA7E3EC2F63D}"/>
              </a:ext>
            </a:extLst>
          </xdr:cNvPr>
          <xdr:cNvCxnSpPr/>
        </xdr:nvCxnSpPr>
        <xdr:spPr>
          <a:xfrm>
            <a:off x="2914649" y="1214437"/>
            <a:ext cx="0" cy="61912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Straight Arrow Connector 33">
            <a:extLst>
              <a:ext uri="{FF2B5EF4-FFF2-40B4-BE49-F238E27FC236}">
                <a16:creationId xmlns:a16="http://schemas.microsoft.com/office/drawing/2014/main" id="{7C71FD72-51BC-41E1-A1AE-8D7DC6A72172}"/>
              </a:ext>
            </a:extLst>
          </xdr:cNvPr>
          <xdr:cNvCxnSpPr/>
        </xdr:nvCxnSpPr>
        <xdr:spPr>
          <a:xfrm>
            <a:off x="3076575" y="1314451"/>
            <a:ext cx="0" cy="52387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Straight Arrow Connector 34">
            <a:extLst>
              <a:ext uri="{FF2B5EF4-FFF2-40B4-BE49-F238E27FC236}">
                <a16:creationId xmlns:a16="http://schemas.microsoft.com/office/drawing/2014/main" id="{6F744C43-B6E0-47CC-B91B-02DB5CC443F1}"/>
              </a:ext>
            </a:extLst>
          </xdr:cNvPr>
          <xdr:cNvCxnSpPr/>
        </xdr:nvCxnSpPr>
        <xdr:spPr>
          <a:xfrm>
            <a:off x="3238500" y="1400175"/>
            <a:ext cx="0" cy="4429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Straight Arrow Connector 35">
            <a:extLst>
              <a:ext uri="{FF2B5EF4-FFF2-40B4-BE49-F238E27FC236}">
                <a16:creationId xmlns:a16="http://schemas.microsoft.com/office/drawing/2014/main" id="{002A3FCF-F1EB-491E-99F3-942DE838A86C}"/>
              </a:ext>
            </a:extLst>
          </xdr:cNvPr>
          <xdr:cNvCxnSpPr/>
        </xdr:nvCxnSpPr>
        <xdr:spPr>
          <a:xfrm>
            <a:off x="3400425" y="1481137"/>
            <a:ext cx="0" cy="3571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Straight Arrow Connector 36">
            <a:extLst>
              <a:ext uri="{FF2B5EF4-FFF2-40B4-BE49-F238E27FC236}">
                <a16:creationId xmlns:a16="http://schemas.microsoft.com/office/drawing/2014/main" id="{369517CE-CBB5-44D3-8F4C-209CF45D0D3D}"/>
              </a:ext>
            </a:extLst>
          </xdr:cNvPr>
          <xdr:cNvCxnSpPr/>
        </xdr:nvCxnSpPr>
        <xdr:spPr>
          <a:xfrm>
            <a:off x="3562350" y="1581150"/>
            <a:ext cx="0" cy="25717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Straight Arrow Connector 37">
            <a:extLst>
              <a:ext uri="{FF2B5EF4-FFF2-40B4-BE49-F238E27FC236}">
                <a16:creationId xmlns:a16="http://schemas.microsoft.com/office/drawing/2014/main" id="{B20983EA-5327-443F-B819-1F4418D8C14F}"/>
              </a:ext>
            </a:extLst>
          </xdr:cNvPr>
          <xdr:cNvCxnSpPr/>
        </xdr:nvCxnSpPr>
        <xdr:spPr>
          <a:xfrm>
            <a:off x="3724275" y="1666875"/>
            <a:ext cx="0" cy="1714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" name="Straight Arrow Connector 38">
            <a:extLst>
              <a:ext uri="{FF2B5EF4-FFF2-40B4-BE49-F238E27FC236}">
                <a16:creationId xmlns:a16="http://schemas.microsoft.com/office/drawing/2014/main" id="{E4F13984-AC5E-40A3-83DB-7FB06863C92D}"/>
              </a:ext>
            </a:extLst>
          </xdr:cNvPr>
          <xdr:cNvCxnSpPr/>
        </xdr:nvCxnSpPr>
        <xdr:spPr>
          <a:xfrm>
            <a:off x="3886200" y="1738313"/>
            <a:ext cx="0" cy="1000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38084079-98D5-421B-84F0-DBC0426BFEA5}"/>
              </a:ext>
            </a:extLst>
          </xdr:cNvPr>
          <xdr:cNvSpPr/>
        </xdr:nvSpPr>
        <xdr:spPr>
          <a:xfrm>
            <a:off x="1457325" y="1933575"/>
            <a:ext cx="2590800" cy="190500"/>
          </a:xfrm>
          <a:prstGeom prst="rect">
            <a:avLst/>
          </a:prstGeom>
          <a:noFill/>
          <a:ln w="6350"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41" name="Straight Arrow Connector 40">
            <a:extLst>
              <a:ext uri="{FF2B5EF4-FFF2-40B4-BE49-F238E27FC236}">
                <a16:creationId xmlns:a16="http://schemas.microsoft.com/office/drawing/2014/main" id="{2EB44AB4-70FD-44BC-A654-C62D60CE3CAD}"/>
              </a:ext>
            </a:extLst>
          </xdr:cNvPr>
          <xdr:cNvCxnSpPr/>
        </xdr:nvCxnSpPr>
        <xdr:spPr>
          <a:xfrm>
            <a:off x="1457325" y="1938338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Straight Arrow Connector 42">
            <a:extLst>
              <a:ext uri="{FF2B5EF4-FFF2-40B4-BE49-F238E27FC236}">
                <a16:creationId xmlns:a16="http://schemas.microsoft.com/office/drawing/2014/main" id="{7E09A197-6116-4830-B938-A5FA3938F930}"/>
              </a:ext>
            </a:extLst>
          </xdr:cNvPr>
          <xdr:cNvCxnSpPr/>
        </xdr:nvCxnSpPr>
        <xdr:spPr>
          <a:xfrm>
            <a:off x="1619250" y="1933576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" name="Straight Arrow Connector 43">
            <a:extLst>
              <a:ext uri="{FF2B5EF4-FFF2-40B4-BE49-F238E27FC236}">
                <a16:creationId xmlns:a16="http://schemas.microsoft.com/office/drawing/2014/main" id="{59C659DE-FA1D-488F-A8DF-8B412AD9268C}"/>
              </a:ext>
            </a:extLst>
          </xdr:cNvPr>
          <xdr:cNvCxnSpPr/>
        </xdr:nvCxnSpPr>
        <xdr:spPr>
          <a:xfrm>
            <a:off x="1781175" y="1933576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" name="Straight Arrow Connector 44">
            <a:extLst>
              <a:ext uri="{FF2B5EF4-FFF2-40B4-BE49-F238E27FC236}">
                <a16:creationId xmlns:a16="http://schemas.microsoft.com/office/drawing/2014/main" id="{D50E385A-0E98-4B81-8937-038D404A5E5D}"/>
              </a:ext>
            </a:extLst>
          </xdr:cNvPr>
          <xdr:cNvCxnSpPr/>
        </xdr:nvCxnSpPr>
        <xdr:spPr>
          <a:xfrm>
            <a:off x="1943100" y="1933577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" name="Straight Arrow Connector 45">
            <a:extLst>
              <a:ext uri="{FF2B5EF4-FFF2-40B4-BE49-F238E27FC236}">
                <a16:creationId xmlns:a16="http://schemas.microsoft.com/office/drawing/2014/main" id="{1D7DFA49-07F6-4011-80BB-23897234B2C0}"/>
              </a:ext>
            </a:extLst>
          </xdr:cNvPr>
          <xdr:cNvCxnSpPr/>
        </xdr:nvCxnSpPr>
        <xdr:spPr>
          <a:xfrm>
            <a:off x="2105025" y="1933577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" name="Straight Arrow Connector 46">
            <a:extLst>
              <a:ext uri="{FF2B5EF4-FFF2-40B4-BE49-F238E27FC236}">
                <a16:creationId xmlns:a16="http://schemas.microsoft.com/office/drawing/2014/main" id="{139C1409-A7BD-4D92-A63B-E8F39E95D372}"/>
              </a:ext>
            </a:extLst>
          </xdr:cNvPr>
          <xdr:cNvCxnSpPr/>
        </xdr:nvCxnSpPr>
        <xdr:spPr>
          <a:xfrm>
            <a:off x="2266950" y="1933577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" name="Straight Arrow Connector 47">
            <a:extLst>
              <a:ext uri="{FF2B5EF4-FFF2-40B4-BE49-F238E27FC236}">
                <a16:creationId xmlns:a16="http://schemas.microsoft.com/office/drawing/2014/main" id="{D0E14A9D-346C-44CD-8460-5A3E9950BB74}"/>
              </a:ext>
            </a:extLst>
          </xdr:cNvPr>
          <xdr:cNvCxnSpPr/>
        </xdr:nvCxnSpPr>
        <xdr:spPr>
          <a:xfrm>
            <a:off x="2428875" y="1933578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Straight Arrow Connector 48">
            <a:extLst>
              <a:ext uri="{FF2B5EF4-FFF2-40B4-BE49-F238E27FC236}">
                <a16:creationId xmlns:a16="http://schemas.microsoft.com/office/drawing/2014/main" id="{787949FE-0286-4041-9E33-94ECBD2BA947}"/>
              </a:ext>
            </a:extLst>
          </xdr:cNvPr>
          <xdr:cNvCxnSpPr/>
        </xdr:nvCxnSpPr>
        <xdr:spPr>
          <a:xfrm>
            <a:off x="2590800" y="1928812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" name="Straight Arrow Connector 49">
            <a:extLst>
              <a:ext uri="{FF2B5EF4-FFF2-40B4-BE49-F238E27FC236}">
                <a16:creationId xmlns:a16="http://schemas.microsoft.com/office/drawing/2014/main" id="{5D6A1DB7-FCD6-4836-8FC9-DFA6E42153AC}"/>
              </a:ext>
            </a:extLst>
          </xdr:cNvPr>
          <xdr:cNvCxnSpPr/>
        </xdr:nvCxnSpPr>
        <xdr:spPr>
          <a:xfrm>
            <a:off x="2752725" y="1928812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" name="Straight Arrow Connector 50">
            <a:extLst>
              <a:ext uri="{FF2B5EF4-FFF2-40B4-BE49-F238E27FC236}">
                <a16:creationId xmlns:a16="http://schemas.microsoft.com/office/drawing/2014/main" id="{B19A2D72-03A3-4F8F-A476-4CC6FC035346}"/>
              </a:ext>
            </a:extLst>
          </xdr:cNvPr>
          <xdr:cNvCxnSpPr/>
        </xdr:nvCxnSpPr>
        <xdr:spPr>
          <a:xfrm>
            <a:off x="2914650" y="1928813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" name="Straight Arrow Connector 51">
            <a:extLst>
              <a:ext uri="{FF2B5EF4-FFF2-40B4-BE49-F238E27FC236}">
                <a16:creationId xmlns:a16="http://schemas.microsoft.com/office/drawing/2014/main" id="{23072462-205C-41F3-843C-97972A295D12}"/>
              </a:ext>
            </a:extLst>
          </xdr:cNvPr>
          <xdr:cNvCxnSpPr/>
        </xdr:nvCxnSpPr>
        <xdr:spPr>
          <a:xfrm>
            <a:off x="3076575" y="1928813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" name="Straight Arrow Connector 52">
            <a:extLst>
              <a:ext uri="{FF2B5EF4-FFF2-40B4-BE49-F238E27FC236}">
                <a16:creationId xmlns:a16="http://schemas.microsoft.com/office/drawing/2014/main" id="{962F8157-F30E-449F-A8B9-5A9EABC8DAC2}"/>
              </a:ext>
            </a:extLst>
          </xdr:cNvPr>
          <xdr:cNvCxnSpPr/>
        </xdr:nvCxnSpPr>
        <xdr:spPr>
          <a:xfrm>
            <a:off x="3238500" y="1928813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Straight Arrow Connector 53">
            <a:extLst>
              <a:ext uri="{FF2B5EF4-FFF2-40B4-BE49-F238E27FC236}">
                <a16:creationId xmlns:a16="http://schemas.microsoft.com/office/drawing/2014/main" id="{D7453ADD-1F1A-48E7-8594-8C90931CCA6D}"/>
              </a:ext>
            </a:extLst>
          </xdr:cNvPr>
          <xdr:cNvCxnSpPr/>
        </xdr:nvCxnSpPr>
        <xdr:spPr>
          <a:xfrm>
            <a:off x="3400425" y="1928814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Straight Arrow Connector 54">
            <a:extLst>
              <a:ext uri="{FF2B5EF4-FFF2-40B4-BE49-F238E27FC236}">
                <a16:creationId xmlns:a16="http://schemas.microsoft.com/office/drawing/2014/main" id="{98401A1B-F178-4902-BEB7-A42B8562625D}"/>
              </a:ext>
            </a:extLst>
          </xdr:cNvPr>
          <xdr:cNvCxnSpPr/>
        </xdr:nvCxnSpPr>
        <xdr:spPr>
          <a:xfrm>
            <a:off x="3562350" y="1933575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" name="Straight Arrow Connector 55">
            <a:extLst>
              <a:ext uri="{FF2B5EF4-FFF2-40B4-BE49-F238E27FC236}">
                <a16:creationId xmlns:a16="http://schemas.microsoft.com/office/drawing/2014/main" id="{8487F972-BAB7-4F5A-B589-6644AA59DBDC}"/>
              </a:ext>
            </a:extLst>
          </xdr:cNvPr>
          <xdr:cNvCxnSpPr/>
        </xdr:nvCxnSpPr>
        <xdr:spPr>
          <a:xfrm>
            <a:off x="3724275" y="1933575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" name="Straight Arrow Connector 56">
            <a:extLst>
              <a:ext uri="{FF2B5EF4-FFF2-40B4-BE49-F238E27FC236}">
                <a16:creationId xmlns:a16="http://schemas.microsoft.com/office/drawing/2014/main" id="{5A2AC525-4AF3-401C-8FC3-EA24B2CC158A}"/>
              </a:ext>
            </a:extLst>
          </xdr:cNvPr>
          <xdr:cNvCxnSpPr/>
        </xdr:nvCxnSpPr>
        <xdr:spPr>
          <a:xfrm>
            <a:off x="3886200" y="1933576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" name="Straight Arrow Connector 57">
            <a:extLst>
              <a:ext uri="{FF2B5EF4-FFF2-40B4-BE49-F238E27FC236}">
                <a16:creationId xmlns:a16="http://schemas.microsoft.com/office/drawing/2014/main" id="{869E4AC1-96A6-4582-919D-E1D2DF8B4E85}"/>
              </a:ext>
            </a:extLst>
          </xdr:cNvPr>
          <xdr:cNvCxnSpPr/>
        </xdr:nvCxnSpPr>
        <xdr:spPr>
          <a:xfrm>
            <a:off x="4048125" y="1933576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1" name="Arc 60">
            <a:extLst>
              <a:ext uri="{FF2B5EF4-FFF2-40B4-BE49-F238E27FC236}">
                <a16:creationId xmlns:a16="http://schemas.microsoft.com/office/drawing/2014/main" id="{BA2737EC-5AD1-4C32-8234-954B21F60A96}"/>
              </a:ext>
            </a:extLst>
          </xdr:cNvPr>
          <xdr:cNvSpPr/>
        </xdr:nvSpPr>
        <xdr:spPr>
          <a:xfrm>
            <a:off x="3719513" y="1981200"/>
            <a:ext cx="666750" cy="666750"/>
          </a:xfrm>
          <a:prstGeom prst="arc">
            <a:avLst>
              <a:gd name="adj1" fmla="val 18636078"/>
              <a:gd name="adj2" fmla="val 2586705"/>
            </a:avLst>
          </a:prstGeom>
          <a:ln w="254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62" name="Arc 61">
            <a:extLst>
              <a:ext uri="{FF2B5EF4-FFF2-40B4-BE49-F238E27FC236}">
                <a16:creationId xmlns:a16="http://schemas.microsoft.com/office/drawing/2014/main" id="{FFBEA73F-27C7-4437-AB23-0D7F228079E6}"/>
              </a:ext>
            </a:extLst>
          </xdr:cNvPr>
          <xdr:cNvSpPr/>
        </xdr:nvSpPr>
        <xdr:spPr>
          <a:xfrm>
            <a:off x="1100138" y="2009775"/>
            <a:ext cx="666750" cy="666750"/>
          </a:xfrm>
          <a:prstGeom prst="arc">
            <a:avLst>
              <a:gd name="adj1" fmla="val 7589785"/>
              <a:gd name="adj2" fmla="val 14145852"/>
            </a:avLst>
          </a:prstGeom>
          <a:ln w="254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64" name="Straight Connector 63">
            <a:extLst>
              <a:ext uri="{FF2B5EF4-FFF2-40B4-BE49-F238E27FC236}">
                <a16:creationId xmlns:a16="http://schemas.microsoft.com/office/drawing/2014/main" id="{6813A8AB-D50E-4ABA-ACF6-6B0AFC261D2D}"/>
              </a:ext>
            </a:extLst>
          </xdr:cNvPr>
          <xdr:cNvCxnSpPr/>
        </xdr:nvCxnSpPr>
        <xdr:spPr>
          <a:xfrm>
            <a:off x="1457325" y="2981325"/>
            <a:ext cx="0" cy="5000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" name="Straight Connector 65">
            <a:extLst>
              <a:ext uri="{FF2B5EF4-FFF2-40B4-BE49-F238E27FC236}">
                <a16:creationId xmlns:a16="http://schemas.microsoft.com/office/drawing/2014/main" id="{EE3AF178-81A9-4C37-A337-3C7C7EF48F7B}"/>
              </a:ext>
            </a:extLst>
          </xdr:cNvPr>
          <xdr:cNvCxnSpPr/>
        </xdr:nvCxnSpPr>
        <xdr:spPr>
          <a:xfrm>
            <a:off x="1395413" y="3124200"/>
            <a:ext cx="27146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" name="Straight Connector 67">
            <a:extLst>
              <a:ext uri="{FF2B5EF4-FFF2-40B4-BE49-F238E27FC236}">
                <a16:creationId xmlns:a16="http://schemas.microsoft.com/office/drawing/2014/main" id="{99F629DC-11B6-4C40-ABD4-1A0EC3EBF839}"/>
              </a:ext>
            </a:extLst>
          </xdr:cNvPr>
          <xdr:cNvCxnSpPr/>
        </xdr:nvCxnSpPr>
        <xdr:spPr>
          <a:xfrm flipH="1">
            <a:off x="1419225" y="3090863"/>
            <a:ext cx="71438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" name="Straight Connector 68">
            <a:extLst>
              <a:ext uri="{FF2B5EF4-FFF2-40B4-BE49-F238E27FC236}">
                <a16:creationId xmlns:a16="http://schemas.microsoft.com/office/drawing/2014/main" id="{BF35FA26-4E9D-4D7A-8C99-B8F999CB4504}"/>
              </a:ext>
            </a:extLst>
          </xdr:cNvPr>
          <xdr:cNvCxnSpPr/>
        </xdr:nvCxnSpPr>
        <xdr:spPr>
          <a:xfrm>
            <a:off x="1395413" y="3409950"/>
            <a:ext cx="27146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" name="Straight Connector 69">
            <a:extLst>
              <a:ext uri="{FF2B5EF4-FFF2-40B4-BE49-F238E27FC236}">
                <a16:creationId xmlns:a16="http://schemas.microsoft.com/office/drawing/2014/main" id="{BE971174-E92F-4D04-B2E8-03CB5530B3B5}"/>
              </a:ext>
            </a:extLst>
          </xdr:cNvPr>
          <xdr:cNvCxnSpPr/>
        </xdr:nvCxnSpPr>
        <xdr:spPr>
          <a:xfrm flipH="1">
            <a:off x="1419225" y="3367088"/>
            <a:ext cx="71438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" name="Straight Connector 71">
            <a:extLst>
              <a:ext uri="{FF2B5EF4-FFF2-40B4-BE49-F238E27FC236}">
                <a16:creationId xmlns:a16="http://schemas.microsoft.com/office/drawing/2014/main" id="{037D9486-75EE-4740-8D7E-ABD09A5D8712}"/>
              </a:ext>
            </a:extLst>
          </xdr:cNvPr>
          <xdr:cNvCxnSpPr/>
        </xdr:nvCxnSpPr>
        <xdr:spPr>
          <a:xfrm>
            <a:off x="4048125" y="2995613"/>
            <a:ext cx="0" cy="4810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" name="Straight Connector 72">
            <a:extLst>
              <a:ext uri="{FF2B5EF4-FFF2-40B4-BE49-F238E27FC236}">
                <a16:creationId xmlns:a16="http://schemas.microsoft.com/office/drawing/2014/main" id="{854D9B25-0F58-4567-9670-AEBE16FF3371}"/>
              </a:ext>
            </a:extLst>
          </xdr:cNvPr>
          <xdr:cNvCxnSpPr/>
        </xdr:nvCxnSpPr>
        <xdr:spPr>
          <a:xfrm flipH="1">
            <a:off x="4010025" y="3086100"/>
            <a:ext cx="71438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" name="Straight Connector 73">
            <a:extLst>
              <a:ext uri="{FF2B5EF4-FFF2-40B4-BE49-F238E27FC236}">
                <a16:creationId xmlns:a16="http://schemas.microsoft.com/office/drawing/2014/main" id="{5693414E-9E35-45D4-B90D-CA2B1967AABF}"/>
              </a:ext>
            </a:extLst>
          </xdr:cNvPr>
          <xdr:cNvCxnSpPr/>
        </xdr:nvCxnSpPr>
        <xdr:spPr>
          <a:xfrm flipH="1">
            <a:off x="4010025" y="3371850"/>
            <a:ext cx="71438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" name="Straight Arrow Connector 77">
            <a:extLst>
              <a:ext uri="{FF2B5EF4-FFF2-40B4-BE49-F238E27FC236}">
                <a16:creationId xmlns:a16="http://schemas.microsoft.com/office/drawing/2014/main" id="{701979EB-82C5-4A8A-8D09-D42D4708E7DF}"/>
              </a:ext>
            </a:extLst>
          </xdr:cNvPr>
          <xdr:cNvCxnSpPr/>
        </xdr:nvCxnSpPr>
        <xdr:spPr>
          <a:xfrm>
            <a:off x="1457325" y="2547938"/>
            <a:ext cx="0" cy="295275"/>
          </a:xfrm>
          <a:prstGeom prst="straightConnector1">
            <a:avLst/>
          </a:prstGeom>
          <a:ln w="254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" name="Straight Arrow Connector 79">
            <a:extLst>
              <a:ext uri="{FF2B5EF4-FFF2-40B4-BE49-F238E27FC236}">
                <a16:creationId xmlns:a16="http://schemas.microsoft.com/office/drawing/2014/main" id="{73B41B29-1EBF-4CAC-A898-19DE7EE338F0}"/>
              </a:ext>
            </a:extLst>
          </xdr:cNvPr>
          <xdr:cNvCxnSpPr/>
        </xdr:nvCxnSpPr>
        <xdr:spPr>
          <a:xfrm>
            <a:off x="4048125" y="2552701"/>
            <a:ext cx="0" cy="280987"/>
          </a:xfrm>
          <a:prstGeom prst="straightConnector1">
            <a:avLst/>
          </a:prstGeom>
          <a:ln w="254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" name="Straight Connector 81">
            <a:extLst>
              <a:ext uri="{FF2B5EF4-FFF2-40B4-BE49-F238E27FC236}">
                <a16:creationId xmlns:a16="http://schemas.microsoft.com/office/drawing/2014/main" id="{D2C67F88-AF89-4ADF-BA4D-30855EEDDB89}"/>
              </a:ext>
            </a:extLst>
          </xdr:cNvPr>
          <xdr:cNvCxnSpPr/>
        </xdr:nvCxnSpPr>
        <xdr:spPr>
          <a:xfrm>
            <a:off x="1295400" y="3500438"/>
            <a:ext cx="0" cy="2714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Straight Connector 83">
            <a:extLst>
              <a:ext uri="{FF2B5EF4-FFF2-40B4-BE49-F238E27FC236}">
                <a16:creationId xmlns:a16="http://schemas.microsoft.com/office/drawing/2014/main" id="{7042962D-2A7A-4ECB-A481-BE666DA00B99}"/>
              </a:ext>
            </a:extLst>
          </xdr:cNvPr>
          <xdr:cNvCxnSpPr/>
        </xdr:nvCxnSpPr>
        <xdr:spPr>
          <a:xfrm>
            <a:off x="1233488" y="3695700"/>
            <a:ext cx="4476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" name="Straight Connector 85">
            <a:extLst>
              <a:ext uri="{FF2B5EF4-FFF2-40B4-BE49-F238E27FC236}">
                <a16:creationId xmlns:a16="http://schemas.microsoft.com/office/drawing/2014/main" id="{08527500-8671-46CC-9BEC-CF459CDA06C7}"/>
              </a:ext>
            </a:extLst>
          </xdr:cNvPr>
          <xdr:cNvCxnSpPr/>
        </xdr:nvCxnSpPr>
        <xdr:spPr>
          <a:xfrm flipH="1">
            <a:off x="1257300" y="3652836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" name="Straight Connector 86">
            <a:extLst>
              <a:ext uri="{FF2B5EF4-FFF2-40B4-BE49-F238E27FC236}">
                <a16:creationId xmlns:a16="http://schemas.microsoft.com/office/drawing/2014/main" id="{EAEB95AA-A025-4C89-9A89-31B6439DAC7F}"/>
              </a:ext>
            </a:extLst>
          </xdr:cNvPr>
          <xdr:cNvCxnSpPr/>
        </xdr:nvCxnSpPr>
        <xdr:spPr>
          <a:xfrm>
            <a:off x="1619250" y="3471863"/>
            <a:ext cx="0" cy="2905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" name="Straight Connector 87">
            <a:extLst>
              <a:ext uri="{FF2B5EF4-FFF2-40B4-BE49-F238E27FC236}">
                <a16:creationId xmlns:a16="http://schemas.microsoft.com/office/drawing/2014/main" id="{6F5369E2-759C-451E-9A63-F11CC2D42143}"/>
              </a:ext>
            </a:extLst>
          </xdr:cNvPr>
          <xdr:cNvCxnSpPr/>
        </xdr:nvCxnSpPr>
        <xdr:spPr>
          <a:xfrm flipH="1">
            <a:off x="1581150" y="3652836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" name="Straight Connector 93">
            <a:extLst>
              <a:ext uri="{FF2B5EF4-FFF2-40B4-BE49-F238E27FC236}">
                <a16:creationId xmlns:a16="http://schemas.microsoft.com/office/drawing/2014/main" id="{F221F51E-74A0-4DF7-B774-672004EBEFCA}"/>
              </a:ext>
            </a:extLst>
          </xdr:cNvPr>
          <xdr:cNvCxnSpPr/>
        </xdr:nvCxnSpPr>
        <xdr:spPr>
          <a:xfrm>
            <a:off x="2752725" y="2352675"/>
            <a:ext cx="0" cy="842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" name="Straight Connector 94">
            <a:extLst>
              <a:ext uri="{FF2B5EF4-FFF2-40B4-BE49-F238E27FC236}">
                <a16:creationId xmlns:a16="http://schemas.microsoft.com/office/drawing/2014/main" id="{FBB14927-D8D2-4B8F-86AE-C325500CC897}"/>
              </a:ext>
            </a:extLst>
          </xdr:cNvPr>
          <xdr:cNvCxnSpPr/>
        </xdr:nvCxnSpPr>
        <xdr:spPr>
          <a:xfrm flipH="1">
            <a:off x="2714625" y="3086101"/>
            <a:ext cx="71438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" name="Straight Connector 97">
            <a:extLst>
              <a:ext uri="{FF2B5EF4-FFF2-40B4-BE49-F238E27FC236}">
                <a16:creationId xmlns:a16="http://schemas.microsoft.com/office/drawing/2014/main" id="{ABD86F50-E60E-4052-9247-DFF874254639}"/>
              </a:ext>
            </a:extLst>
          </xdr:cNvPr>
          <xdr:cNvCxnSpPr/>
        </xdr:nvCxnSpPr>
        <xdr:spPr>
          <a:xfrm flipV="1">
            <a:off x="2752725" y="1114425"/>
            <a:ext cx="381000" cy="3714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" name="Straight Connector 98">
            <a:extLst>
              <a:ext uri="{FF2B5EF4-FFF2-40B4-BE49-F238E27FC236}">
                <a16:creationId xmlns:a16="http://schemas.microsoft.com/office/drawing/2014/main" id="{037F91EE-CE93-475C-80DC-B00738D1E74E}"/>
              </a:ext>
            </a:extLst>
          </xdr:cNvPr>
          <xdr:cNvCxnSpPr/>
        </xdr:nvCxnSpPr>
        <xdr:spPr>
          <a:xfrm flipV="1">
            <a:off x="3076575" y="1395413"/>
            <a:ext cx="590550" cy="57578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Straight Connector 80">
            <a:extLst>
              <a:ext uri="{FF2B5EF4-FFF2-40B4-BE49-F238E27FC236}">
                <a16:creationId xmlns:a16="http://schemas.microsoft.com/office/drawing/2014/main" id="{C147F257-706F-46FF-9242-2C8CD81D96A1}"/>
              </a:ext>
            </a:extLst>
          </xdr:cNvPr>
          <xdr:cNvCxnSpPr/>
        </xdr:nvCxnSpPr>
        <xdr:spPr>
          <a:xfrm>
            <a:off x="3886200" y="3500438"/>
            <a:ext cx="0" cy="2714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" name="Straight Connector 82">
            <a:extLst>
              <a:ext uri="{FF2B5EF4-FFF2-40B4-BE49-F238E27FC236}">
                <a16:creationId xmlns:a16="http://schemas.microsoft.com/office/drawing/2014/main" id="{CAEE4231-8BE1-4300-AE61-BA625D830AE3}"/>
              </a:ext>
            </a:extLst>
          </xdr:cNvPr>
          <xdr:cNvCxnSpPr/>
        </xdr:nvCxnSpPr>
        <xdr:spPr>
          <a:xfrm>
            <a:off x="3824288" y="3695700"/>
            <a:ext cx="4476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Straight Connector 84">
            <a:extLst>
              <a:ext uri="{FF2B5EF4-FFF2-40B4-BE49-F238E27FC236}">
                <a16:creationId xmlns:a16="http://schemas.microsoft.com/office/drawing/2014/main" id="{083FF920-780C-44BB-B450-1512005493F2}"/>
              </a:ext>
            </a:extLst>
          </xdr:cNvPr>
          <xdr:cNvCxnSpPr/>
        </xdr:nvCxnSpPr>
        <xdr:spPr>
          <a:xfrm flipH="1">
            <a:off x="3848100" y="3652836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" name="Straight Connector 88">
            <a:extLst>
              <a:ext uri="{FF2B5EF4-FFF2-40B4-BE49-F238E27FC236}">
                <a16:creationId xmlns:a16="http://schemas.microsoft.com/office/drawing/2014/main" id="{B60D2248-84EA-4F73-A435-EB619CFAC4FE}"/>
              </a:ext>
            </a:extLst>
          </xdr:cNvPr>
          <xdr:cNvCxnSpPr/>
        </xdr:nvCxnSpPr>
        <xdr:spPr>
          <a:xfrm>
            <a:off x="4210050" y="3471863"/>
            <a:ext cx="0" cy="2905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" name="Straight Connector 89">
            <a:extLst>
              <a:ext uri="{FF2B5EF4-FFF2-40B4-BE49-F238E27FC236}">
                <a16:creationId xmlns:a16="http://schemas.microsoft.com/office/drawing/2014/main" id="{4253C52B-E997-4044-AAC3-202693BCC247}"/>
              </a:ext>
            </a:extLst>
          </xdr:cNvPr>
          <xdr:cNvCxnSpPr/>
        </xdr:nvCxnSpPr>
        <xdr:spPr>
          <a:xfrm flipH="1">
            <a:off x="4171950" y="3652836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35</xdr:col>
      <xdr:colOff>0</xdr:colOff>
      <xdr:row>10</xdr:row>
      <xdr:rowOff>76201</xdr:rowOff>
    </xdr:from>
    <xdr:to>
      <xdr:col>43</xdr:col>
      <xdr:colOff>76200</xdr:colOff>
      <xdr:row>14</xdr:row>
      <xdr:rowOff>138113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4A59FF49-8982-4046-8F45-ECE8237317D0}"/>
            </a:ext>
          </a:extLst>
        </xdr:cNvPr>
        <xdr:cNvGrpSpPr/>
      </xdr:nvGrpSpPr>
      <xdr:grpSpPr>
        <a:xfrm>
          <a:off x="5667375" y="1914526"/>
          <a:ext cx="1371600" cy="633412"/>
          <a:chOff x="5667375" y="1914526"/>
          <a:chExt cx="1371600" cy="633412"/>
        </a:xfrm>
      </xdr:grpSpPr>
      <xdr:sp macro="" textlink="">
        <xdr:nvSpPr>
          <xdr:cNvPr id="7" name="Freeform: Shape 6">
            <a:extLst>
              <a:ext uri="{FF2B5EF4-FFF2-40B4-BE49-F238E27FC236}">
                <a16:creationId xmlns:a16="http://schemas.microsoft.com/office/drawing/2014/main" id="{2CC78FA8-370A-4D91-9B81-2B66ACD74F67}"/>
              </a:ext>
            </a:extLst>
          </xdr:cNvPr>
          <xdr:cNvSpPr/>
        </xdr:nvSpPr>
        <xdr:spPr>
          <a:xfrm>
            <a:off x="5667375" y="1981200"/>
            <a:ext cx="976313" cy="566738"/>
          </a:xfrm>
          <a:custGeom>
            <a:avLst/>
            <a:gdLst>
              <a:gd name="connsiteX0" fmla="*/ 971550 w 976313"/>
              <a:gd name="connsiteY0" fmla="*/ 0 h 566738"/>
              <a:gd name="connsiteX1" fmla="*/ 0 w 976313"/>
              <a:gd name="connsiteY1" fmla="*/ 0 h 566738"/>
              <a:gd name="connsiteX2" fmla="*/ 0 w 976313"/>
              <a:gd name="connsiteY2" fmla="*/ 147638 h 566738"/>
              <a:gd name="connsiteX3" fmla="*/ 333375 w 976313"/>
              <a:gd name="connsiteY3" fmla="*/ 147638 h 566738"/>
              <a:gd name="connsiteX4" fmla="*/ 333375 w 976313"/>
              <a:gd name="connsiteY4" fmla="*/ 566738 h 566738"/>
              <a:gd name="connsiteX5" fmla="*/ 652463 w 976313"/>
              <a:gd name="connsiteY5" fmla="*/ 566738 h 566738"/>
              <a:gd name="connsiteX6" fmla="*/ 652463 w 976313"/>
              <a:gd name="connsiteY6" fmla="*/ 138113 h 566738"/>
              <a:gd name="connsiteX7" fmla="*/ 976313 w 976313"/>
              <a:gd name="connsiteY7" fmla="*/ 138113 h 566738"/>
              <a:gd name="connsiteX8" fmla="*/ 971550 w 976313"/>
              <a:gd name="connsiteY8" fmla="*/ 0 h 56673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976313" h="566738">
                <a:moveTo>
                  <a:pt x="971550" y="0"/>
                </a:moveTo>
                <a:lnTo>
                  <a:pt x="0" y="0"/>
                </a:lnTo>
                <a:lnTo>
                  <a:pt x="0" y="147638"/>
                </a:lnTo>
                <a:lnTo>
                  <a:pt x="333375" y="147638"/>
                </a:lnTo>
                <a:lnTo>
                  <a:pt x="333375" y="566738"/>
                </a:lnTo>
                <a:lnTo>
                  <a:pt x="652463" y="566738"/>
                </a:lnTo>
                <a:lnTo>
                  <a:pt x="652463" y="138113"/>
                </a:lnTo>
                <a:lnTo>
                  <a:pt x="976313" y="138113"/>
                </a:lnTo>
                <a:lnTo>
                  <a:pt x="971550" y="0"/>
                </a:lnTo>
                <a:close/>
              </a:path>
            </a:pathLst>
          </a:custGeom>
          <a:blipFill>
            <a:blip xmlns:r="http://schemas.openxmlformats.org/officeDocument/2006/relationships" r:embed="rId1"/>
            <a:tile tx="0" ty="0" sx="100000" sy="100000" flip="none" algn="tl"/>
          </a:blip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6" name="Oval 5">
            <a:extLst>
              <a:ext uri="{FF2B5EF4-FFF2-40B4-BE49-F238E27FC236}">
                <a16:creationId xmlns:a16="http://schemas.microsoft.com/office/drawing/2014/main" id="{B1EDFC2F-0917-41E3-BB4D-D8CD38B66763}"/>
              </a:ext>
            </a:extLst>
          </xdr:cNvPr>
          <xdr:cNvSpPr/>
        </xdr:nvSpPr>
        <xdr:spPr>
          <a:xfrm flipH="1" flipV="1">
            <a:off x="6073143" y="2434591"/>
            <a:ext cx="45720" cy="45720"/>
          </a:xfrm>
          <a:prstGeom prst="ellipse">
            <a:avLst/>
          </a:prstGeom>
          <a:solidFill>
            <a:schemeClr val="tx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91" name="Oval 90">
            <a:extLst>
              <a:ext uri="{FF2B5EF4-FFF2-40B4-BE49-F238E27FC236}">
                <a16:creationId xmlns:a16="http://schemas.microsoft.com/office/drawing/2014/main" id="{61397326-61E3-4E85-B8F1-8F75B8F3EF1B}"/>
              </a:ext>
            </a:extLst>
          </xdr:cNvPr>
          <xdr:cNvSpPr/>
        </xdr:nvSpPr>
        <xdr:spPr>
          <a:xfrm flipH="1" flipV="1">
            <a:off x="6201729" y="2434591"/>
            <a:ext cx="45720" cy="45720"/>
          </a:xfrm>
          <a:prstGeom prst="ellipse">
            <a:avLst/>
          </a:prstGeom>
          <a:solidFill>
            <a:schemeClr val="tx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D6FD7DE2-132E-4AD4-BD68-6602AD0829E9}"/>
              </a:ext>
            </a:extLst>
          </xdr:cNvPr>
          <xdr:cNvCxnSpPr/>
        </xdr:nvCxnSpPr>
        <xdr:spPr>
          <a:xfrm>
            <a:off x="6272213" y="2457450"/>
            <a:ext cx="76676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id="{92EC2356-7745-4BF3-B82E-B8D971C5174C}"/>
              </a:ext>
            </a:extLst>
          </xdr:cNvPr>
          <xdr:cNvCxnSpPr/>
        </xdr:nvCxnSpPr>
        <xdr:spPr>
          <a:xfrm flipV="1">
            <a:off x="6962782" y="1914526"/>
            <a:ext cx="0" cy="61912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Straight Connector 17">
            <a:extLst>
              <a:ext uri="{FF2B5EF4-FFF2-40B4-BE49-F238E27FC236}">
                <a16:creationId xmlns:a16="http://schemas.microsoft.com/office/drawing/2014/main" id="{541E2256-18CF-42F8-9F70-BF99677BE462}"/>
              </a:ext>
            </a:extLst>
          </xdr:cNvPr>
          <xdr:cNvCxnSpPr/>
        </xdr:nvCxnSpPr>
        <xdr:spPr>
          <a:xfrm>
            <a:off x="6672261" y="1981200"/>
            <a:ext cx="36671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Straight Connector 31">
            <a:extLst>
              <a:ext uri="{FF2B5EF4-FFF2-40B4-BE49-F238E27FC236}">
                <a16:creationId xmlns:a16="http://schemas.microsoft.com/office/drawing/2014/main" id="{805872DE-2944-4EC4-BEE2-F7DDE2E17FD7}"/>
              </a:ext>
            </a:extLst>
          </xdr:cNvPr>
          <xdr:cNvCxnSpPr/>
        </xdr:nvCxnSpPr>
        <xdr:spPr>
          <a:xfrm flipH="1">
            <a:off x="6924682" y="1947864"/>
            <a:ext cx="71438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" name="Straight Connector 91">
            <a:extLst>
              <a:ext uri="{FF2B5EF4-FFF2-40B4-BE49-F238E27FC236}">
                <a16:creationId xmlns:a16="http://schemas.microsoft.com/office/drawing/2014/main" id="{C244D5B5-DD79-45AA-83D6-0ED38BCD8C39}"/>
              </a:ext>
            </a:extLst>
          </xdr:cNvPr>
          <xdr:cNvCxnSpPr/>
        </xdr:nvCxnSpPr>
        <xdr:spPr>
          <a:xfrm flipH="1">
            <a:off x="6929445" y="2419349"/>
            <a:ext cx="66675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128588</xdr:colOff>
      <xdr:row>74</xdr:row>
      <xdr:rowOff>0</xdr:rowOff>
    </xdr:from>
    <xdr:to>
      <xdr:col>27</xdr:col>
      <xdr:colOff>14288</xdr:colOff>
      <xdr:row>91</xdr:row>
      <xdr:rowOff>76200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7774DE74-6440-40CB-A876-15EC69675BA1}"/>
            </a:ext>
          </a:extLst>
        </xdr:cNvPr>
        <xdr:cNvGrpSpPr/>
      </xdr:nvGrpSpPr>
      <xdr:grpSpPr>
        <a:xfrm>
          <a:off x="1100138" y="11001375"/>
          <a:ext cx="3286125" cy="2505075"/>
          <a:chOff x="1100138" y="11001375"/>
          <a:chExt cx="3286125" cy="2505075"/>
        </a:xfrm>
      </xdr:grpSpPr>
      <xdr:sp macro="" textlink="">
        <xdr:nvSpPr>
          <xdr:cNvPr id="93" name="Isosceles Triangle 92">
            <a:extLst>
              <a:ext uri="{FF2B5EF4-FFF2-40B4-BE49-F238E27FC236}">
                <a16:creationId xmlns:a16="http://schemas.microsoft.com/office/drawing/2014/main" id="{497FCF76-6096-4789-BFFB-E93D0C73CC50}"/>
              </a:ext>
            </a:extLst>
          </xdr:cNvPr>
          <xdr:cNvSpPr/>
        </xdr:nvSpPr>
        <xdr:spPr>
          <a:xfrm>
            <a:off x="1362072" y="12011025"/>
            <a:ext cx="190503" cy="138113"/>
          </a:xfrm>
          <a:prstGeom prst="triangle">
            <a:avLst/>
          </a:prstGeom>
          <a:solidFill>
            <a:schemeClr val="bg1">
              <a:lumMod val="8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96" name="Isosceles Triangle 95">
            <a:extLst>
              <a:ext uri="{FF2B5EF4-FFF2-40B4-BE49-F238E27FC236}">
                <a16:creationId xmlns:a16="http://schemas.microsoft.com/office/drawing/2014/main" id="{A1E4C649-9DBD-4E4A-A44D-623521D559AB}"/>
              </a:ext>
            </a:extLst>
          </xdr:cNvPr>
          <xdr:cNvSpPr/>
        </xdr:nvSpPr>
        <xdr:spPr>
          <a:xfrm>
            <a:off x="3948109" y="12006262"/>
            <a:ext cx="195263" cy="104776"/>
          </a:xfrm>
          <a:prstGeom prst="triangle">
            <a:avLst/>
          </a:prstGeom>
          <a:solidFill>
            <a:schemeClr val="bg1">
              <a:lumMod val="8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97" name="Straight Connector 96">
            <a:extLst>
              <a:ext uri="{FF2B5EF4-FFF2-40B4-BE49-F238E27FC236}">
                <a16:creationId xmlns:a16="http://schemas.microsoft.com/office/drawing/2014/main" id="{3F1CE13D-4E14-4CB1-BE21-A44C8C90C38B}"/>
              </a:ext>
            </a:extLst>
          </xdr:cNvPr>
          <xdr:cNvCxnSpPr/>
        </xdr:nvCxnSpPr>
        <xdr:spPr>
          <a:xfrm>
            <a:off x="1300163" y="12149138"/>
            <a:ext cx="323850" cy="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0" name="Rectangle 99">
            <a:extLst>
              <a:ext uri="{FF2B5EF4-FFF2-40B4-BE49-F238E27FC236}">
                <a16:creationId xmlns:a16="http://schemas.microsoft.com/office/drawing/2014/main" id="{C5C52C7D-9ABB-4D61-8845-027B7A3AFD71}"/>
              </a:ext>
            </a:extLst>
          </xdr:cNvPr>
          <xdr:cNvSpPr/>
        </xdr:nvSpPr>
        <xdr:spPr>
          <a:xfrm>
            <a:off x="1300162" y="12158664"/>
            <a:ext cx="333376" cy="123824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01" name="Straight Connector 100">
            <a:extLst>
              <a:ext uri="{FF2B5EF4-FFF2-40B4-BE49-F238E27FC236}">
                <a16:creationId xmlns:a16="http://schemas.microsoft.com/office/drawing/2014/main" id="{5DAD6012-9F3F-4D05-B46C-B7DA24627BC0}"/>
              </a:ext>
            </a:extLst>
          </xdr:cNvPr>
          <xdr:cNvCxnSpPr/>
        </xdr:nvCxnSpPr>
        <xdr:spPr>
          <a:xfrm>
            <a:off x="3886201" y="12149138"/>
            <a:ext cx="323850" cy="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2" name="Rectangle 101">
            <a:extLst>
              <a:ext uri="{FF2B5EF4-FFF2-40B4-BE49-F238E27FC236}">
                <a16:creationId xmlns:a16="http://schemas.microsoft.com/office/drawing/2014/main" id="{84ABCD4D-3D3C-43E7-8136-4AC07A45B82B}"/>
              </a:ext>
            </a:extLst>
          </xdr:cNvPr>
          <xdr:cNvSpPr/>
        </xdr:nvSpPr>
        <xdr:spPr>
          <a:xfrm>
            <a:off x="3886200" y="12158664"/>
            <a:ext cx="333376" cy="123824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03" name="Straight Connector 102">
            <a:extLst>
              <a:ext uri="{FF2B5EF4-FFF2-40B4-BE49-F238E27FC236}">
                <a16:creationId xmlns:a16="http://schemas.microsoft.com/office/drawing/2014/main" id="{833635D3-0BA8-4705-B15A-3442ABAC927F}"/>
              </a:ext>
            </a:extLst>
          </xdr:cNvPr>
          <xdr:cNvCxnSpPr/>
        </xdr:nvCxnSpPr>
        <xdr:spPr>
          <a:xfrm>
            <a:off x="1457326" y="12001501"/>
            <a:ext cx="2600324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" name="Straight Arrow Connector 104">
            <a:extLst>
              <a:ext uri="{FF2B5EF4-FFF2-40B4-BE49-F238E27FC236}">
                <a16:creationId xmlns:a16="http://schemas.microsoft.com/office/drawing/2014/main" id="{F6142F1F-C85D-4C1F-9961-62770A16C08B}"/>
              </a:ext>
            </a:extLst>
          </xdr:cNvPr>
          <xdr:cNvCxnSpPr/>
        </xdr:nvCxnSpPr>
        <xdr:spPr>
          <a:xfrm>
            <a:off x="2752726" y="11144250"/>
            <a:ext cx="0" cy="42386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" name="Straight Arrow Connector 105">
            <a:extLst>
              <a:ext uri="{FF2B5EF4-FFF2-40B4-BE49-F238E27FC236}">
                <a16:creationId xmlns:a16="http://schemas.microsoft.com/office/drawing/2014/main" id="{FEAE1FA9-6A9F-440D-A5AC-230379A80BB1}"/>
              </a:ext>
            </a:extLst>
          </xdr:cNvPr>
          <xdr:cNvCxnSpPr/>
        </xdr:nvCxnSpPr>
        <xdr:spPr>
          <a:xfrm>
            <a:off x="2590801" y="11144250"/>
            <a:ext cx="0" cy="42862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" name="Straight Arrow Connector 106">
            <a:extLst>
              <a:ext uri="{FF2B5EF4-FFF2-40B4-BE49-F238E27FC236}">
                <a16:creationId xmlns:a16="http://schemas.microsoft.com/office/drawing/2014/main" id="{82326FB8-B427-4B3E-82C4-6B64D14D2B82}"/>
              </a:ext>
            </a:extLst>
          </xdr:cNvPr>
          <xdr:cNvCxnSpPr/>
        </xdr:nvCxnSpPr>
        <xdr:spPr>
          <a:xfrm>
            <a:off x="2428876" y="11144250"/>
            <a:ext cx="0" cy="42386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" name="Straight Arrow Connector 107">
            <a:extLst>
              <a:ext uri="{FF2B5EF4-FFF2-40B4-BE49-F238E27FC236}">
                <a16:creationId xmlns:a16="http://schemas.microsoft.com/office/drawing/2014/main" id="{B55DD473-36A2-4334-8EA9-49FBE3F8D074}"/>
              </a:ext>
            </a:extLst>
          </xdr:cNvPr>
          <xdr:cNvCxnSpPr/>
        </xdr:nvCxnSpPr>
        <xdr:spPr>
          <a:xfrm>
            <a:off x="2266951" y="11144250"/>
            <a:ext cx="0" cy="42386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" name="Straight Arrow Connector 108">
            <a:extLst>
              <a:ext uri="{FF2B5EF4-FFF2-40B4-BE49-F238E27FC236}">
                <a16:creationId xmlns:a16="http://schemas.microsoft.com/office/drawing/2014/main" id="{79263006-9D43-4E52-B5F7-A2CCA64B1540}"/>
              </a:ext>
            </a:extLst>
          </xdr:cNvPr>
          <xdr:cNvCxnSpPr/>
        </xdr:nvCxnSpPr>
        <xdr:spPr>
          <a:xfrm>
            <a:off x="2105026" y="11220450"/>
            <a:ext cx="0" cy="3571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" name="Straight Arrow Connector 109">
            <a:extLst>
              <a:ext uri="{FF2B5EF4-FFF2-40B4-BE49-F238E27FC236}">
                <a16:creationId xmlns:a16="http://schemas.microsoft.com/office/drawing/2014/main" id="{1861127B-82A9-454B-AFEA-C0B6C8FC27AC}"/>
              </a:ext>
            </a:extLst>
          </xdr:cNvPr>
          <xdr:cNvCxnSpPr/>
        </xdr:nvCxnSpPr>
        <xdr:spPr>
          <a:xfrm>
            <a:off x="1943101" y="11310938"/>
            <a:ext cx="0" cy="25717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" name="Straight Arrow Connector 110">
            <a:extLst>
              <a:ext uri="{FF2B5EF4-FFF2-40B4-BE49-F238E27FC236}">
                <a16:creationId xmlns:a16="http://schemas.microsoft.com/office/drawing/2014/main" id="{901DA2DA-CBC5-4C4C-847F-D9B7AEE7E834}"/>
              </a:ext>
            </a:extLst>
          </xdr:cNvPr>
          <xdr:cNvCxnSpPr/>
        </xdr:nvCxnSpPr>
        <xdr:spPr>
          <a:xfrm>
            <a:off x="1781176" y="11401425"/>
            <a:ext cx="0" cy="1714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" name="Straight Arrow Connector 111">
            <a:extLst>
              <a:ext uri="{FF2B5EF4-FFF2-40B4-BE49-F238E27FC236}">
                <a16:creationId xmlns:a16="http://schemas.microsoft.com/office/drawing/2014/main" id="{196E7CDA-625A-47C4-8A78-E931473E4B4F}"/>
              </a:ext>
            </a:extLst>
          </xdr:cNvPr>
          <xdr:cNvCxnSpPr/>
        </xdr:nvCxnSpPr>
        <xdr:spPr>
          <a:xfrm>
            <a:off x="1619251" y="11477625"/>
            <a:ext cx="0" cy="1000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" name="Straight Arrow Connector 112">
            <a:extLst>
              <a:ext uri="{FF2B5EF4-FFF2-40B4-BE49-F238E27FC236}">
                <a16:creationId xmlns:a16="http://schemas.microsoft.com/office/drawing/2014/main" id="{4C15713E-31E7-4455-8365-A39172371A24}"/>
              </a:ext>
            </a:extLst>
          </xdr:cNvPr>
          <xdr:cNvCxnSpPr/>
        </xdr:nvCxnSpPr>
        <xdr:spPr>
          <a:xfrm>
            <a:off x="2914649" y="11144250"/>
            <a:ext cx="0" cy="42386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" name="Straight Arrow Connector 113">
            <a:extLst>
              <a:ext uri="{FF2B5EF4-FFF2-40B4-BE49-F238E27FC236}">
                <a16:creationId xmlns:a16="http://schemas.microsoft.com/office/drawing/2014/main" id="{58F97B8F-005E-4DDC-89FC-DF25CAB8094D}"/>
              </a:ext>
            </a:extLst>
          </xdr:cNvPr>
          <xdr:cNvCxnSpPr/>
        </xdr:nvCxnSpPr>
        <xdr:spPr>
          <a:xfrm>
            <a:off x="3076575" y="11149013"/>
            <a:ext cx="0" cy="42386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" name="Straight Arrow Connector 114">
            <a:extLst>
              <a:ext uri="{FF2B5EF4-FFF2-40B4-BE49-F238E27FC236}">
                <a16:creationId xmlns:a16="http://schemas.microsoft.com/office/drawing/2014/main" id="{F66CE378-4979-41D2-A949-663E0B4831D1}"/>
              </a:ext>
            </a:extLst>
          </xdr:cNvPr>
          <xdr:cNvCxnSpPr/>
        </xdr:nvCxnSpPr>
        <xdr:spPr>
          <a:xfrm>
            <a:off x="3238500" y="11149013"/>
            <a:ext cx="0" cy="42862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" name="Straight Arrow Connector 115">
            <a:extLst>
              <a:ext uri="{FF2B5EF4-FFF2-40B4-BE49-F238E27FC236}">
                <a16:creationId xmlns:a16="http://schemas.microsoft.com/office/drawing/2014/main" id="{03D5FDDF-A52F-4FBF-90A1-A4DBEE13F9E9}"/>
              </a:ext>
            </a:extLst>
          </xdr:cNvPr>
          <xdr:cNvCxnSpPr/>
        </xdr:nvCxnSpPr>
        <xdr:spPr>
          <a:xfrm>
            <a:off x="3400425" y="11220450"/>
            <a:ext cx="0" cy="35242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" name="Straight Arrow Connector 116">
            <a:extLst>
              <a:ext uri="{FF2B5EF4-FFF2-40B4-BE49-F238E27FC236}">
                <a16:creationId xmlns:a16="http://schemas.microsoft.com/office/drawing/2014/main" id="{1CECBDB5-91A4-4784-A2F9-C1F87ED5526A}"/>
              </a:ext>
            </a:extLst>
          </xdr:cNvPr>
          <xdr:cNvCxnSpPr/>
        </xdr:nvCxnSpPr>
        <xdr:spPr>
          <a:xfrm>
            <a:off x="3562350" y="11315700"/>
            <a:ext cx="0" cy="25717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" name="Straight Arrow Connector 117">
            <a:extLst>
              <a:ext uri="{FF2B5EF4-FFF2-40B4-BE49-F238E27FC236}">
                <a16:creationId xmlns:a16="http://schemas.microsoft.com/office/drawing/2014/main" id="{A236B803-2378-4D54-820D-455E17F757CB}"/>
              </a:ext>
            </a:extLst>
          </xdr:cNvPr>
          <xdr:cNvCxnSpPr/>
        </xdr:nvCxnSpPr>
        <xdr:spPr>
          <a:xfrm>
            <a:off x="3724275" y="11401425"/>
            <a:ext cx="0" cy="1714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" name="Straight Arrow Connector 118">
            <a:extLst>
              <a:ext uri="{FF2B5EF4-FFF2-40B4-BE49-F238E27FC236}">
                <a16:creationId xmlns:a16="http://schemas.microsoft.com/office/drawing/2014/main" id="{4F791F70-0250-4D4E-9AEB-49EC6418D726}"/>
              </a:ext>
            </a:extLst>
          </xdr:cNvPr>
          <xdr:cNvCxnSpPr/>
        </xdr:nvCxnSpPr>
        <xdr:spPr>
          <a:xfrm>
            <a:off x="3886200" y="11472863"/>
            <a:ext cx="0" cy="1000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0" name="Rectangle 119">
            <a:extLst>
              <a:ext uri="{FF2B5EF4-FFF2-40B4-BE49-F238E27FC236}">
                <a16:creationId xmlns:a16="http://schemas.microsoft.com/office/drawing/2014/main" id="{967915C2-76DC-46F6-8F85-E090B0FA4AF7}"/>
              </a:ext>
            </a:extLst>
          </xdr:cNvPr>
          <xdr:cNvSpPr/>
        </xdr:nvSpPr>
        <xdr:spPr>
          <a:xfrm>
            <a:off x="1457325" y="11668125"/>
            <a:ext cx="2590800" cy="190500"/>
          </a:xfrm>
          <a:prstGeom prst="rect">
            <a:avLst/>
          </a:prstGeom>
          <a:noFill/>
          <a:ln w="6350"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21" name="Straight Arrow Connector 120">
            <a:extLst>
              <a:ext uri="{FF2B5EF4-FFF2-40B4-BE49-F238E27FC236}">
                <a16:creationId xmlns:a16="http://schemas.microsoft.com/office/drawing/2014/main" id="{2D58F692-D2D7-4903-97ED-DCC465AEC954}"/>
              </a:ext>
            </a:extLst>
          </xdr:cNvPr>
          <xdr:cNvCxnSpPr/>
        </xdr:nvCxnSpPr>
        <xdr:spPr>
          <a:xfrm>
            <a:off x="1457325" y="11672888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" name="Straight Arrow Connector 121">
            <a:extLst>
              <a:ext uri="{FF2B5EF4-FFF2-40B4-BE49-F238E27FC236}">
                <a16:creationId xmlns:a16="http://schemas.microsoft.com/office/drawing/2014/main" id="{FB0E3CCC-0F80-484E-ABEB-2C8938E0D605}"/>
              </a:ext>
            </a:extLst>
          </xdr:cNvPr>
          <xdr:cNvCxnSpPr/>
        </xdr:nvCxnSpPr>
        <xdr:spPr>
          <a:xfrm>
            <a:off x="1619250" y="11668126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" name="Straight Arrow Connector 122">
            <a:extLst>
              <a:ext uri="{FF2B5EF4-FFF2-40B4-BE49-F238E27FC236}">
                <a16:creationId xmlns:a16="http://schemas.microsoft.com/office/drawing/2014/main" id="{CAF2F4AD-2E7A-48A4-A7A4-FB7EDD569153}"/>
              </a:ext>
            </a:extLst>
          </xdr:cNvPr>
          <xdr:cNvCxnSpPr/>
        </xdr:nvCxnSpPr>
        <xdr:spPr>
          <a:xfrm>
            <a:off x="1781175" y="11668126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" name="Straight Arrow Connector 123">
            <a:extLst>
              <a:ext uri="{FF2B5EF4-FFF2-40B4-BE49-F238E27FC236}">
                <a16:creationId xmlns:a16="http://schemas.microsoft.com/office/drawing/2014/main" id="{54A40A2B-D209-4B79-8FDA-CEB5A1CABAAD}"/>
              </a:ext>
            </a:extLst>
          </xdr:cNvPr>
          <xdr:cNvCxnSpPr/>
        </xdr:nvCxnSpPr>
        <xdr:spPr>
          <a:xfrm>
            <a:off x="1943100" y="11668127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" name="Straight Arrow Connector 124">
            <a:extLst>
              <a:ext uri="{FF2B5EF4-FFF2-40B4-BE49-F238E27FC236}">
                <a16:creationId xmlns:a16="http://schemas.microsoft.com/office/drawing/2014/main" id="{0D3D9952-C990-402A-A309-AA3C3404E34F}"/>
              </a:ext>
            </a:extLst>
          </xdr:cNvPr>
          <xdr:cNvCxnSpPr/>
        </xdr:nvCxnSpPr>
        <xdr:spPr>
          <a:xfrm>
            <a:off x="2105025" y="11668127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" name="Straight Arrow Connector 125">
            <a:extLst>
              <a:ext uri="{FF2B5EF4-FFF2-40B4-BE49-F238E27FC236}">
                <a16:creationId xmlns:a16="http://schemas.microsoft.com/office/drawing/2014/main" id="{89DE3922-BDED-49C1-B39D-538B657EBDC7}"/>
              </a:ext>
            </a:extLst>
          </xdr:cNvPr>
          <xdr:cNvCxnSpPr/>
        </xdr:nvCxnSpPr>
        <xdr:spPr>
          <a:xfrm>
            <a:off x="2266950" y="11668127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" name="Straight Arrow Connector 126">
            <a:extLst>
              <a:ext uri="{FF2B5EF4-FFF2-40B4-BE49-F238E27FC236}">
                <a16:creationId xmlns:a16="http://schemas.microsoft.com/office/drawing/2014/main" id="{0DC86318-2640-464E-A3B4-740187C88D1F}"/>
              </a:ext>
            </a:extLst>
          </xdr:cNvPr>
          <xdr:cNvCxnSpPr/>
        </xdr:nvCxnSpPr>
        <xdr:spPr>
          <a:xfrm>
            <a:off x="2428875" y="11668128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" name="Straight Arrow Connector 127">
            <a:extLst>
              <a:ext uri="{FF2B5EF4-FFF2-40B4-BE49-F238E27FC236}">
                <a16:creationId xmlns:a16="http://schemas.microsoft.com/office/drawing/2014/main" id="{B062038D-762E-4BCC-9BEA-02D84BD3D292}"/>
              </a:ext>
            </a:extLst>
          </xdr:cNvPr>
          <xdr:cNvCxnSpPr/>
        </xdr:nvCxnSpPr>
        <xdr:spPr>
          <a:xfrm>
            <a:off x="2590800" y="11663362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" name="Straight Arrow Connector 128">
            <a:extLst>
              <a:ext uri="{FF2B5EF4-FFF2-40B4-BE49-F238E27FC236}">
                <a16:creationId xmlns:a16="http://schemas.microsoft.com/office/drawing/2014/main" id="{85B4BED4-F487-4900-8492-AF559A4A483E}"/>
              </a:ext>
            </a:extLst>
          </xdr:cNvPr>
          <xdr:cNvCxnSpPr/>
        </xdr:nvCxnSpPr>
        <xdr:spPr>
          <a:xfrm>
            <a:off x="2752725" y="11663362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" name="Straight Arrow Connector 129">
            <a:extLst>
              <a:ext uri="{FF2B5EF4-FFF2-40B4-BE49-F238E27FC236}">
                <a16:creationId xmlns:a16="http://schemas.microsoft.com/office/drawing/2014/main" id="{BAD5F7FA-D603-45A5-81DD-899D55DA49FC}"/>
              </a:ext>
            </a:extLst>
          </xdr:cNvPr>
          <xdr:cNvCxnSpPr/>
        </xdr:nvCxnSpPr>
        <xdr:spPr>
          <a:xfrm>
            <a:off x="2914650" y="11663363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" name="Straight Arrow Connector 130">
            <a:extLst>
              <a:ext uri="{FF2B5EF4-FFF2-40B4-BE49-F238E27FC236}">
                <a16:creationId xmlns:a16="http://schemas.microsoft.com/office/drawing/2014/main" id="{3B4D2812-C85C-48C6-A634-CD8DA24924DE}"/>
              </a:ext>
            </a:extLst>
          </xdr:cNvPr>
          <xdr:cNvCxnSpPr/>
        </xdr:nvCxnSpPr>
        <xdr:spPr>
          <a:xfrm>
            <a:off x="3076575" y="11663363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" name="Straight Arrow Connector 131">
            <a:extLst>
              <a:ext uri="{FF2B5EF4-FFF2-40B4-BE49-F238E27FC236}">
                <a16:creationId xmlns:a16="http://schemas.microsoft.com/office/drawing/2014/main" id="{BD1E71E8-C495-4998-96F6-64821D13092E}"/>
              </a:ext>
            </a:extLst>
          </xdr:cNvPr>
          <xdr:cNvCxnSpPr/>
        </xdr:nvCxnSpPr>
        <xdr:spPr>
          <a:xfrm>
            <a:off x="3238500" y="11663363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" name="Straight Arrow Connector 132">
            <a:extLst>
              <a:ext uri="{FF2B5EF4-FFF2-40B4-BE49-F238E27FC236}">
                <a16:creationId xmlns:a16="http://schemas.microsoft.com/office/drawing/2014/main" id="{FF93EFF8-382E-4C39-B666-38C0C629EA6A}"/>
              </a:ext>
            </a:extLst>
          </xdr:cNvPr>
          <xdr:cNvCxnSpPr/>
        </xdr:nvCxnSpPr>
        <xdr:spPr>
          <a:xfrm>
            <a:off x="3400425" y="11663364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" name="Straight Arrow Connector 133">
            <a:extLst>
              <a:ext uri="{FF2B5EF4-FFF2-40B4-BE49-F238E27FC236}">
                <a16:creationId xmlns:a16="http://schemas.microsoft.com/office/drawing/2014/main" id="{B0901907-E7B9-4082-8F51-7DE9E3A78A7D}"/>
              </a:ext>
            </a:extLst>
          </xdr:cNvPr>
          <xdr:cNvCxnSpPr/>
        </xdr:nvCxnSpPr>
        <xdr:spPr>
          <a:xfrm>
            <a:off x="3562350" y="11668125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" name="Straight Arrow Connector 134">
            <a:extLst>
              <a:ext uri="{FF2B5EF4-FFF2-40B4-BE49-F238E27FC236}">
                <a16:creationId xmlns:a16="http://schemas.microsoft.com/office/drawing/2014/main" id="{03202338-4E7B-4B31-A0CF-6DEC75F68733}"/>
              </a:ext>
            </a:extLst>
          </xdr:cNvPr>
          <xdr:cNvCxnSpPr/>
        </xdr:nvCxnSpPr>
        <xdr:spPr>
          <a:xfrm>
            <a:off x="3724275" y="11668125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" name="Straight Arrow Connector 135">
            <a:extLst>
              <a:ext uri="{FF2B5EF4-FFF2-40B4-BE49-F238E27FC236}">
                <a16:creationId xmlns:a16="http://schemas.microsoft.com/office/drawing/2014/main" id="{9F0B62A6-2F1D-4AD2-8F2B-2F789D3C5252}"/>
              </a:ext>
            </a:extLst>
          </xdr:cNvPr>
          <xdr:cNvCxnSpPr/>
        </xdr:nvCxnSpPr>
        <xdr:spPr>
          <a:xfrm>
            <a:off x="3886200" y="11668126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" name="Straight Arrow Connector 136">
            <a:extLst>
              <a:ext uri="{FF2B5EF4-FFF2-40B4-BE49-F238E27FC236}">
                <a16:creationId xmlns:a16="http://schemas.microsoft.com/office/drawing/2014/main" id="{8BA6E53F-A931-41DF-8BD9-997683C038B9}"/>
              </a:ext>
            </a:extLst>
          </xdr:cNvPr>
          <xdr:cNvCxnSpPr/>
        </xdr:nvCxnSpPr>
        <xdr:spPr>
          <a:xfrm>
            <a:off x="4048125" y="11668126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8" name="Arc 137">
            <a:extLst>
              <a:ext uri="{FF2B5EF4-FFF2-40B4-BE49-F238E27FC236}">
                <a16:creationId xmlns:a16="http://schemas.microsoft.com/office/drawing/2014/main" id="{05D36C17-F935-474A-8E5B-63ABD042F8E8}"/>
              </a:ext>
            </a:extLst>
          </xdr:cNvPr>
          <xdr:cNvSpPr/>
        </xdr:nvSpPr>
        <xdr:spPr>
          <a:xfrm>
            <a:off x="3719513" y="11715750"/>
            <a:ext cx="666750" cy="666750"/>
          </a:xfrm>
          <a:prstGeom prst="arc">
            <a:avLst>
              <a:gd name="adj1" fmla="val 18636078"/>
              <a:gd name="adj2" fmla="val 2586705"/>
            </a:avLst>
          </a:prstGeom>
          <a:ln w="254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39" name="Arc 138">
            <a:extLst>
              <a:ext uri="{FF2B5EF4-FFF2-40B4-BE49-F238E27FC236}">
                <a16:creationId xmlns:a16="http://schemas.microsoft.com/office/drawing/2014/main" id="{9B15F018-C3F1-4719-8FA5-3F1E391BB801}"/>
              </a:ext>
            </a:extLst>
          </xdr:cNvPr>
          <xdr:cNvSpPr/>
        </xdr:nvSpPr>
        <xdr:spPr>
          <a:xfrm>
            <a:off x="1100138" y="11744325"/>
            <a:ext cx="666750" cy="666750"/>
          </a:xfrm>
          <a:prstGeom prst="arc">
            <a:avLst>
              <a:gd name="adj1" fmla="val 7589785"/>
              <a:gd name="adj2" fmla="val 14145852"/>
            </a:avLst>
          </a:prstGeom>
          <a:ln w="254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40" name="Straight Connector 139">
            <a:extLst>
              <a:ext uri="{FF2B5EF4-FFF2-40B4-BE49-F238E27FC236}">
                <a16:creationId xmlns:a16="http://schemas.microsoft.com/office/drawing/2014/main" id="{F83AEAE2-A281-4217-9F27-A1328E5175A3}"/>
              </a:ext>
            </a:extLst>
          </xdr:cNvPr>
          <xdr:cNvCxnSpPr/>
        </xdr:nvCxnSpPr>
        <xdr:spPr>
          <a:xfrm>
            <a:off x="1457325" y="12715875"/>
            <a:ext cx="0" cy="5000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" name="Straight Connector 140">
            <a:extLst>
              <a:ext uri="{FF2B5EF4-FFF2-40B4-BE49-F238E27FC236}">
                <a16:creationId xmlns:a16="http://schemas.microsoft.com/office/drawing/2014/main" id="{BF212EB3-B55B-4D34-9A5E-2B6B9DCA1612}"/>
              </a:ext>
            </a:extLst>
          </xdr:cNvPr>
          <xdr:cNvCxnSpPr/>
        </xdr:nvCxnSpPr>
        <xdr:spPr>
          <a:xfrm>
            <a:off x="1395413" y="12858750"/>
            <a:ext cx="27146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" name="Straight Connector 141">
            <a:extLst>
              <a:ext uri="{FF2B5EF4-FFF2-40B4-BE49-F238E27FC236}">
                <a16:creationId xmlns:a16="http://schemas.microsoft.com/office/drawing/2014/main" id="{D80DB98D-8697-45BC-8145-BABCAB55D3E6}"/>
              </a:ext>
            </a:extLst>
          </xdr:cNvPr>
          <xdr:cNvCxnSpPr/>
        </xdr:nvCxnSpPr>
        <xdr:spPr>
          <a:xfrm flipH="1">
            <a:off x="1419225" y="12825413"/>
            <a:ext cx="71438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3" name="Straight Connector 142">
            <a:extLst>
              <a:ext uri="{FF2B5EF4-FFF2-40B4-BE49-F238E27FC236}">
                <a16:creationId xmlns:a16="http://schemas.microsoft.com/office/drawing/2014/main" id="{4EF27CFA-7CD6-4B39-8290-975B6745A0B2}"/>
              </a:ext>
            </a:extLst>
          </xdr:cNvPr>
          <xdr:cNvCxnSpPr/>
        </xdr:nvCxnSpPr>
        <xdr:spPr>
          <a:xfrm>
            <a:off x="1395413" y="13144500"/>
            <a:ext cx="27146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" name="Straight Connector 143">
            <a:extLst>
              <a:ext uri="{FF2B5EF4-FFF2-40B4-BE49-F238E27FC236}">
                <a16:creationId xmlns:a16="http://schemas.microsoft.com/office/drawing/2014/main" id="{90D653E7-D26E-4361-8302-A307F22E2C14}"/>
              </a:ext>
            </a:extLst>
          </xdr:cNvPr>
          <xdr:cNvCxnSpPr/>
        </xdr:nvCxnSpPr>
        <xdr:spPr>
          <a:xfrm flipH="1">
            <a:off x="1419225" y="13101638"/>
            <a:ext cx="71438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" name="Straight Connector 144">
            <a:extLst>
              <a:ext uri="{FF2B5EF4-FFF2-40B4-BE49-F238E27FC236}">
                <a16:creationId xmlns:a16="http://schemas.microsoft.com/office/drawing/2014/main" id="{55095362-2285-4E35-9F59-A3CEA0B6E084}"/>
              </a:ext>
            </a:extLst>
          </xdr:cNvPr>
          <xdr:cNvCxnSpPr/>
        </xdr:nvCxnSpPr>
        <xdr:spPr>
          <a:xfrm>
            <a:off x="4048125" y="12730163"/>
            <a:ext cx="0" cy="4810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" name="Straight Connector 145">
            <a:extLst>
              <a:ext uri="{FF2B5EF4-FFF2-40B4-BE49-F238E27FC236}">
                <a16:creationId xmlns:a16="http://schemas.microsoft.com/office/drawing/2014/main" id="{18FA3B78-460A-4DD3-A3E1-7152636E3017}"/>
              </a:ext>
            </a:extLst>
          </xdr:cNvPr>
          <xdr:cNvCxnSpPr/>
        </xdr:nvCxnSpPr>
        <xdr:spPr>
          <a:xfrm flipH="1">
            <a:off x="4010025" y="12820650"/>
            <a:ext cx="71438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" name="Straight Connector 146">
            <a:extLst>
              <a:ext uri="{FF2B5EF4-FFF2-40B4-BE49-F238E27FC236}">
                <a16:creationId xmlns:a16="http://schemas.microsoft.com/office/drawing/2014/main" id="{6A2B4108-4F54-419B-BD5D-903C5A9A316F}"/>
              </a:ext>
            </a:extLst>
          </xdr:cNvPr>
          <xdr:cNvCxnSpPr/>
        </xdr:nvCxnSpPr>
        <xdr:spPr>
          <a:xfrm flipH="1">
            <a:off x="4010025" y="13106400"/>
            <a:ext cx="71438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" name="Straight Arrow Connector 147">
            <a:extLst>
              <a:ext uri="{FF2B5EF4-FFF2-40B4-BE49-F238E27FC236}">
                <a16:creationId xmlns:a16="http://schemas.microsoft.com/office/drawing/2014/main" id="{E45A0CC1-0F47-4F8D-9541-676490FCCAB9}"/>
              </a:ext>
            </a:extLst>
          </xdr:cNvPr>
          <xdr:cNvCxnSpPr/>
        </xdr:nvCxnSpPr>
        <xdr:spPr>
          <a:xfrm>
            <a:off x="1457325" y="12282488"/>
            <a:ext cx="0" cy="295275"/>
          </a:xfrm>
          <a:prstGeom prst="straightConnector1">
            <a:avLst/>
          </a:prstGeom>
          <a:ln w="254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" name="Straight Arrow Connector 148">
            <a:extLst>
              <a:ext uri="{FF2B5EF4-FFF2-40B4-BE49-F238E27FC236}">
                <a16:creationId xmlns:a16="http://schemas.microsoft.com/office/drawing/2014/main" id="{4ED63AEA-05BE-4E5C-B4EA-E486C8613738}"/>
              </a:ext>
            </a:extLst>
          </xdr:cNvPr>
          <xdr:cNvCxnSpPr/>
        </xdr:nvCxnSpPr>
        <xdr:spPr>
          <a:xfrm>
            <a:off x="4048125" y="12287251"/>
            <a:ext cx="0" cy="280987"/>
          </a:xfrm>
          <a:prstGeom prst="straightConnector1">
            <a:avLst/>
          </a:prstGeom>
          <a:ln w="254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" name="Straight Connector 149">
            <a:extLst>
              <a:ext uri="{FF2B5EF4-FFF2-40B4-BE49-F238E27FC236}">
                <a16:creationId xmlns:a16="http://schemas.microsoft.com/office/drawing/2014/main" id="{4FC1E44B-3C2A-406A-A782-1225629EAC04}"/>
              </a:ext>
            </a:extLst>
          </xdr:cNvPr>
          <xdr:cNvCxnSpPr/>
        </xdr:nvCxnSpPr>
        <xdr:spPr>
          <a:xfrm>
            <a:off x="1295400" y="13234988"/>
            <a:ext cx="0" cy="2714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" name="Straight Connector 150">
            <a:extLst>
              <a:ext uri="{FF2B5EF4-FFF2-40B4-BE49-F238E27FC236}">
                <a16:creationId xmlns:a16="http://schemas.microsoft.com/office/drawing/2014/main" id="{A8A5FBF5-7A68-4110-8E56-162A31656A71}"/>
              </a:ext>
            </a:extLst>
          </xdr:cNvPr>
          <xdr:cNvCxnSpPr/>
        </xdr:nvCxnSpPr>
        <xdr:spPr>
          <a:xfrm>
            <a:off x="1233488" y="13430250"/>
            <a:ext cx="4476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" name="Straight Connector 151">
            <a:extLst>
              <a:ext uri="{FF2B5EF4-FFF2-40B4-BE49-F238E27FC236}">
                <a16:creationId xmlns:a16="http://schemas.microsoft.com/office/drawing/2014/main" id="{B9DCB719-350D-490A-B345-8687882752BF}"/>
              </a:ext>
            </a:extLst>
          </xdr:cNvPr>
          <xdr:cNvCxnSpPr/>
        </xdr:nvCxnSpPr>
        <xdr:spPr>
          <a:xfrm flipH="1">
            <a:off x="1257300" y="13387386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" name="Straight Connector 152">
            <a:extLst>
              <a:ext uri="{FF2B5EF4-FFF2-40B4-BE49-F238E27FC236}">
                <a16:creationId xmlns:a16="http://schemas.microsoft.com/office/drawing/2014/main" id="{E366E327-2220-4B11-8F5A-F5EF2A5B207B}"/>
              </a:ext>
            </a:extLst>
          </xdr:cNvPr>
          <xdr:cNvCxnSpPr/>
        </xdr:nvCxnSpPr>
        <xdr:spPr>
          <a:xfrm>
            <a:off x="1619250" y="13206413"/>
            <a:ext cx="0" cy="2905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" name="Straight Connector 153">
            <a:extLst>
              <a:ext uri="{FF2B5EF4-FFF2-40B4-BE49-F238E27FC236}">
                <a16:creationId xmlns:a16="http://schemas.microsoft.com/office/drawing/2014/main" id="{4B4BFA79-D333-4573-9D93-03157C8B538A}"/>
              </a:ext>
            </a:extLst>
          </xdr:cNvPr>
          <xdr:cNvCxnSpPr/>
        </xdr:nvCxnSpPr>
        <xdr:spPr>
          <a:xfrm flipH="1">
            <a:off x="1581150" y="13387386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" name="Straight Connector 154">
            <a:extLst>
              <a:ext uri="{FF2B5EF4-FFF2-40B4-BE49-F238E27FC236}">
                <a16:creationId xmlns:a16="http://schemas.microsoft.com/office/drawing/2014/main" id="{4AF54FED-00AA-4200-9E24-80FEF4B6D625}"/>
              </a:ext>
            </a:extLst>
          </xdr:cNvPr>
          <xdr:cNvCxnSpPr/>
        </xdr:nvCxnSpPr>
        <xdr:spPr>
          <a:xfrm>
            <a:off x="2233608" y="12087225"/>
            <a:ext cx="0" cy="842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" name="Straight Connector 155">
            <a:extLst>
              <a:ext uri="{FF2B5EF4-FFF2-40B4-BE49-F238E27FC236}">
                <a16:creationId xmlns:a16="http://schemas.microsoft.com/office/drawing/2014/main" id="{8E4B87AE-63A5-4483-A082-A28B41A2F2C7}"/>
              </a:ext>
            </a:extLst>
          </xdr:cNvPr>
          <xdr:cNvCxnSpPr/>
        </xdr:nvCxnSpPr>
        <xdr:spPr>
          <a:xfrm flipH="1">
            <a:off x="2195508" y="12820651"/>
            <a:ext cx="71438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" name="Straight Connector 156">
            <a:extLst>
              <a:ext uri="{FF2B5EF4-FFF2-40B4-BE49-F238E27FC236}">
                <a16:creationId xmlns:a16="http://schemas.microsoft.com/office/drawing/2014/main" id="{0CF72C5E-AF12-4DAE-8922-6BB5B3F44BE0}"/>
              </a:ext>
            </a:extLst>
          </xdr:cNvPr>
          <xdr:cNvCxnSpPr/>
        </xdr:nvCxnSpPr>
        <xdr:spPr>
          <a:xfrm flipV="1">
            <a:off x="2914650" y="11001375"/>
            <a:ext cx="263769" cy="2571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8" name="Straight Connector 157">
            <a:extLst>
              <a:ext uri="{FF2B5EF4-FFF2-40B4-BE49-F238E27FC236}">
                <a16:creationId xmlns:a16="http://schemas.microsoft.com/office/drawing/2014/main" id="{6099AD05-4DB2-4B1F-A83D-0E70FCEDAFE8}"/>
              </a:ext>
            </a:extLst>
          </xdr:cNvPr>
          <xdr:cNvCxnSpPr/>
        </xdr:nvCxnSpPr>
        <xdr:spPr>
          <a:xfrm flipV="1">
            <a:off x="3076575" y="11129963"/>
            <a:ext cx="590550" cy="57578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" name="Straight Connector 158">
            <a:extLst>
              <a:ext uri="{FF2B5EF4-FFF2-40B4-BE49-F238E27FC236}">
                <a16:creationId xmlns:a16="http://schemas.microsoft.com/office/drawing/2014/main" id="{14D9B696-AC04-4AC3-9254-DE2054F72DC0}"/>
              </a:ext>
            </a:extLst>
          </xdr:cNvPr>
          <xdr:cNvCxnSpPr/>
        </xdr:nvCxnSpPr>
        <xdr:spPr>
          <a:xfrm>
            <a:off x="3886200" y="13234988"/>
            <a:ext cx="0" cy="2714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" name="Straight Connector 159">
            <a:extLst>
              <a:ext uri="{FF2B5EF4-FFF2-40B4-BE49-F238E27FC236}">
                <a16:creationId xmlns:a16="http://schemas.microsoft.com/office/drawing/2014/main" id="{7355D4B1-0D33-44C8-8E2A-2A59BAE2AA32}"/>
              </a:ext>
            </a:extLst>
          </xdr:cNvPr>
          <xdr:cNvCxnSpPr/>
        </xdr:nvCxnSpPr>
        <xdr:spPr>
          <a:xfrm>
            <a:off x="3824288" y="13430250"/>
            <a:ext cx="4476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" name="Straight Connector 160">
            <a:extLst>
              <a:ext uri="{FF2B5EF4-FFF2-40B4-BE49-F238E27FC236}">
                <a16:creationId xmlns:a16="http://schemas.microsoft.com/office/drawing/2014/main" id="{E5E551C8-820D-4DDF-8569-2FD7AF8BFCC2}"/>
              </a:ext>
            </a:extLst>
          </xdr:cNvPr>
          <xdr:cNvCxnSpPr/>
        </xdr:nvCxnSpPr>
        <xdr:spPr>
          <a:xfrm flipH="1">
            <a:off x="3848100" y="13387386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" name="Straight Connector 161">
            <a:extLst>
              <a:ext uri="{FF2B5EF4-FFF2-40B4-BE49-F238E27FC236}">
                <a16:creationId xmlns:a16="http://schemas.microsoft.com/office/drawing/2014/main" id="{B41F3923-85B0-4446-83E8-F35EC1E7D706}"/>
              </a:ext>
            </a:extLst>
          </xdr:cNvPr>
          <xdr:cNvCxnSpPr/>
        </xdr:nvCxnSpPr>
        <xdr:spPr>
          <a:xfrm>
            <a:off x="4210050" y="13206413"/>
            <a:ext cx="0" cy="2905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" name="Straight Connector 162">
            <a:extLst>
              <a:ext uri="{FF2B5EF4-FFF2-40B4-BE49-F238E27FC236}">
                <a16:creationId xmlns:a16="http://schemas.microsoft.com/office/drawing/2014/main" id="{F1DFC821-D7C5-47E9-843D-3D701376F8A0}"/>
              </a:ext>
            </a:extLst>
          </xdr:cNvPr>
          <xdr:cNvCxnSpPr/>
        </xdr:nvCxnSpPr>
        <xdr:spPr>
          <a:xfrm flipH="1">
            <a:off x="4171950" y="13387386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Trapezoid 11">
            <a:extLst>
              <a:ext uri="{FF2B5EF4-FFF2-40B4-BE49-F238E27FC236}">
                <a16:creationId xmlns:a16="http://schemas.microsoft.com/office/drawing/2014/main" id="{7BEBC751-5DBA-4D24-9648-93BBF7D6CE42}"/>
              </a:ext>
            </a:extLst>
          </xdr:cNvPr>
          <xdr:cNvSpPr/>
        </xdr:nvSpPr>
        <xdr:spPr>
          <a:xfrm>
            <a:off x="1457325" y="11144250"/>
            <a:ext cx="2590800" cy="423863"/>
          </a:xfrm>
          <a:prstGeom prst="trapezoid">
            <a:avLst>
              <a:gd name="adj" fmla="val 187500"/>
            </a:avLst>
          </a:prstGeom>
          <a:noFill/>
          <a:ln w="6350"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72" name="Straight Connector 171">
            <a:extLst>
              <a:ext uri="{FF2B5EF4-FFF2-40B4-BE49-F238E27FC236}">
                <a16:creationId xmlns:a16="http://schemas.microsoft.com/office/drawing/2014/main" id="{CB59E82E-C549-40F5-B3E2-BD81FB187DA3}"/>
              </a:ext>
            </a:extLst>
          </xdr:cNvPr>
          <xdr:cNvCxnSpPr/>
        </xdr:nvCxnSpPr>
        <xdr:spPr>
          <a:xfrm>
            <a:off x="3276600" y="12087225"/>
            <a:ext cx="0" cy="842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3" name="Straight Connector 172">
            <a:extLst>
              <a:ext uri="{FF2B5EF4-FFF2-40B4-BE49-F238E27FC236}">
                <a16:creationId xmlns:a16="http://schemas.microsoft.com/office/drawing/2014/main" id="{4034C8E9-A559-46CA-8EA2-D03904CA4041}"/>
              </a:ext>
            </a:extLst>
          </xdr:cNvPr>
          <xdr:cNvCxnSpPr/>
        </xdr:nvCxnSpPr>
        <xdr:spPr>
          <a:xfrm flipH="1">
            <a:off x="3238500" y="12820651"/>
            <a:ext cx="71438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" name="Straight Connector 174">
            <a:extLst>
              <a:ext uri="{FF2B5EF4-FFF2-40B4-BE49-F238E27FC236}">
                <a16:creationId xmlns:a16="http://schemas.microsoft.com/office/drawing/2014/main" id="{0A4970AF-2043-4688-80A2-2F7FA958183A}"/>
              </a:ext>
            </a:extLst>
          </xdr:cNvPr>
          <xdr:cNvCxnSpPr/>
        </xdr:nvCxnSpPr>
        <xdr:spPr>
          <a:xfrm>
            <a:off x="2238375" y="11953874"/>
            <a:ext cx="0" cy="100013"/>
          </a:xfrm>
          <a:prstGeom prst="line">
            <a:avLst/>
          </a:prstGeom>
          <a:ln w="1905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7" name="Straight Connector 176">
            <a:extLst>
              <a:ext uri="{FF2B5EF4-FFF2-40B4-BE49-F238E27FC236}">
                <a16:creationId xmlns:a16="http://schemas.microsoft.com/office/drawing/2014/main" id="{4B8B3F40-A958-4B3D-B821-79ACE733308D}"/>
              </a:ext>
            </a:extLst>
          </xdr:cNvPr>
          <xdr:cNvCxnSpPr/>
        </xdr:nvCxnSpPr>
        <xdr:spPr>
          <a:xfrm>
            <a:off x="2757488" y="11949112"/>
            <a:ext cx="0" cy="100013"/>
          </a:xfrm>
          <a:prstGeom prst="line">
            <a:avLst/>
          </a:prstGeom>
          <a:ln w="1905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8" name="Straight Connector 177">
            <a:extLst>
              <a:ext uri="{FF2B5EF4-FFF2-40B4-BE49-F238E27FC236}">
                <a16:creationId xmlns:a16="http://schemas.microsoft.com/office/drawing/2014/main" id="{98064794-FCC4-49C3-B55E-EB7C4E11E680}"/>
              </a:ext>
            </a:extLst>
          </xdr:cNvPr>
          <xdr:cNvCxnSpPr/>
        </xdr:nvCxnSpPr>
        <xdr:spPr>
          <a:xfrm>
            <a:off x="3281363" y="11953875"/>
            <a:ext cx="0" cy="100013"/>
          </a:xfrm>
          <a:prstGeom prst="line">
            <a:avLst/>
          </a:prstGeom>
          <a:ln w="1905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128588</xdr:colOff>
      <xdr:row>152</xdr:row>
      <xdr:rowOff>28575</xdr:rowOff>
    </xdr:from>
    <xdr:to>
      <xdr:col>27</xdr:col>
      <xdr:colOff>14288</xdr:colOff>
      <xdr:row>174</xdr:row>
      <xdr:rowOff>76200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93E6960F-0680-4381-B9A0-A60F71DBE1D5}"/>
            </a:ext>
          </a:extLst>
        </xdr:cNvPr>
        <xdr:cNvGrpSpPr/>
      </xdr:nvGrpSpPr>
      <xdr:grpSpPr>
        <a:xfrm>
          <a:off x="1100138" y="22193250"/>
          <a:ext cx="3286125" cy="3190875"/>
          <a:chOff x="1100138" y="21907500"/>
          <a:chExt cx="3286125" cy="3190875"/>
        </a:xfrm>
      </xdr:grpSpPr>
      <xdr:sp macro="" textlink="">
        <xdr:nvSpPr>
          <xdr:cNvPr id="174" name="Isosceles Triangle 173">
            <a:extLst>
              <a:ext uri="{FF2B5EF4-FFF2-40B4-BE49-F238E27FC236}">
                <a16:creationId xmlns:a16="http://schemas.microsoft.com/office/drawing/2014/main" id="{594253B0-6C8F-4C85-926D-A264CC245B16}"/>
              </a:ext>
            </a:extLst>
          </xdr:cNvPr>
          <xdr:cNvSpPr/>
        </xdr:nvSpPr>
        <xdr:spPr>
          <a:xfrm>
            <a:off x="1362072" y="23602950"/>
            <a:ext cx="190503" cy="138113"/>
          </a:xfrm>
          <a:prstGeom prst="triangle">
            <a:avLst/>
          </a:prstGeom>
          <a:solidFill>
            <a:schemeClr val="bg1">
              <a:lumMod val="8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76" name="Isosceles Triangle 175">
            <a:extLst>
              <a:ext uri="{FF2B5EF4-FFF2-40B4-BE49-F238E27FC236}">
                <a16:creationId xmlns:a16="http://schemas.microsoft.com/office/drawing/2014/main" id="{2A170A98-806C-4D7C-A34D-A7D67DBF942E}"/>
              </a:ext>
            </a:extLst>
          </xdr:cNvPr>
          <xdr:cNvSpPr/>
        </xdr:nvSpPr>
        <xdr:spPr>
          <a:xfrm>
            <a:off x="3948109" y="23598187"/>
            <a:ext cx="195263" cy="104776"/>
          </a:xfrm>
          <a:prstGeom prst="triangle">
            <a:avLst/>
          </a:prstGeom>
          <a:solidFill>
            <a:schemeClr val="bg1">
              <a:lumMod val="8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79" name="Straight Connector 178">
            <a:extLst>
              <a:ext uri="{FF2B5EF4-FFF2-40B4-BE49-F238E27FC236}">
                <a16:creationId xmlns:a16="http://schemas.microsoft.com/office/drawing/2014/main" id="{59894DE0-C8B8-464F-962B-7BE7CB9D6538}"/>
              </a:ext>
            </a:extLst>
          </xdr:cNvPr>
          <xdr:cNvCxnSpPr/>
        </xdr:nvCxnSpPr>
        <xdr:spPr>
          <a:xfrm>
            <a:off x="1300163" y="23741063"/>
            <a:ext cx="323850" cy="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0" name="Rectangle 179">
            <a:extLst>
              <a:ext uri="{FF2B5EF4-FFF2-40B4-BE49-F238E27FC236}">
                <a16:creationId xmlns:a16="http://schemas.microsoft.com/office/drawing/2014/main" id="{B258EC00-CC97-4739-B2A9-DABC50A2ED32}"/>
              </a:ext>
            </a:extLst>
          </xdr:cNvPr>
          <xdr:cNvSpPr/>
        </xdr:nvSpPr>
        <xdr:spPr>
          <a:xfrm>
            <a:off x="1300162" y="23750589"/>
            <a:ext cx="333376" cy="123824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81" name="Straight Connector 180">
            <a:extLst>
              <a:ext uri="{FF2B5EF4-FFF2-40B4-BE49-F238E27FC236}">
                <a16:creationId xmlns:a16="http://schemas.microsoft.com/office/drawing/2014/main" id="{77BCD29B-3089-47B4-97E2-78427EE64789}"/>
              </a:ext>
            </a:extLst>
          </xdr:cNvPr>
          <xdr:cNvCxnSpPr/>
        </xdr:nvCxnSpPr>
        <xdr:spPr>
          <a:xfrm>
            <a:off x="3886201" y="23741063"/>
            <a:ext cx="323850" cy="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2" name="Rectangle 181">
            <a:extLst>
              <a:ext uri="{FF2B5EF4-FFF2-40B4-BE49-F238E27FC236}">
                <a16:creationId xmlns:a16="http://schemas.microsoft.com/office/drawing/2014/main" id="{85E0C1BE-7D20-46A6-9A3F-BC132011CB95}"/>
              </a:ext>
            </a:extLst>
          </xdr:cNvPr>
          <xdr:cNvSpPr/>
        </xdr:nvSpPr>
        <xdr:spPr>
          <a:xfrm>
            <a:off x="3886200" y="23750589"/>
            <a:ext cx="333376" cy="123824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83" name="Straight Connector 182">
            <a:extLst>
              <a:ext uri="{FF2B5EF4-FFF2-40B4-BE49-F238E27FC236}">
                <a16:creationId xmlns:a16="http://schemas.microsoft.com/office/drawing/2014/main" id="{3350E089-A0D7-4096-9A42-52DB8F45BDF2}"/>
              </a:ext>
            </a:extLst>
          </xdr:cNvPr>
          <xdr:cNvCxnSpPr/>
        </xdr:nvCxnSpPr>
        <xdr:spPr>
          <a:xfrm>
            <a:off x="1457326" y="23593426"/>
            <a:ext cx="2600324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" name="Straight Arrow Connector 183">
            <a:extLst>
              <a:ext uri="{FF2B5EF4-FFF2-40B4-BE49-F238E27FC236}">
                <a16:creationId xmlns:a16="http://schemas.microsoft.com/office/drawing/2014/main" id="{07E9FF5F-63B5-4349-BDFA-46BA09F8352B}"/>
              </a:ext>
            </a:extLst>
          </xdr:cNvPr>
          <xdr:cNvCxnSpPr/>
        </xdr:nvCxnSpPr>
        <xdr:spPr>
          <a:xfrm>
            <a:off x="2752726" y="22736175"/>
            <a:ext cx="0" cy="42386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" name="Straight Arrow Connector 184">
            <a:extLst>
              <a:ext uri="{FF2B5EF4-FFF2-40B4-BE49-F238E27FC236}">
                <a16:creationId xmlns:a16="http://schemas.microsoft.com/office/drawing/2014/main" id="{EA7F8D48-A0FA-4B29-9DE6-5736DB33D16D}"/>
              </a:ext>
            </a:extLst>
          </xdr:cNvPr>
          <xdr:cNvCxnSpPr/>
        </xdr:nvCxnSpPr>
        <xdr:spPr>
          <a:xfrm>
            <a:off x="2590801" y="22736175"/>
            <a:ext cx="0" cy="42862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" name="Straight Arrow Connector 185">
            <a:extLst>
              <a:ext uri="{FF2B5EF4-FFF2-40B4-BE49-F238E27FC236}">
                <a16:creationId xmlns:a16="http://schemas.microsoft.com/office/drawing/2014/main" id="{028A4EF1-84D1-47D6-8E8C-EEABB25004C3}"/>
              </a:ext>
            </a:extLst>
          </xdr:cNvPr>
          <xdr:cNvCxnSpPr/>
        </xdr:nvCxnSpPr>
        <xdr:spPr>
          <a:xfrm>
            <a:off x="2428876" y="22736175"/>
            <a:ext cx="0" cy="42386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" name="Straight Arrow Connector 186">
            <a:extLst>
              <a:ext uri="{FF2B5EF4-FFF2-40B4-BE49-F238E27FC236}">
                <a16:creationId xmlns:a16="http://schemas.microsoft.com/office/drawing/2014/main" id="{31411F47-0647-4D48-9B79-176981B87336}"/>
              </a:ext>
            </a:extLst>
          </xdr:cNvPr>
          <xdr:cNvCxnSpPr/>
        </xdr:nvCxnSpPr>
        <xdr:spPr>
          <a:xfrm>
            <a:off x="2266951" y="22736175"/>
            <a:ext cx="0" cy="42386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" name="Straight Arrow Connector 187">
            <a:extLst>
              <a:ext uri="{FF2B5EF4-FFF2-40B4-BE49-F238E27FC236}">
                <a16:creationId xmlns:a16="http://schemas.microsoft.com/office/drawing/2014/main" id="{1C3A0D8D-44D1-4ADA-9D57-3C2334FD72DE}"/>
              </a:ext>
            </a:extLst>
          </xdr:cNvPr>
          <xdr:cNvCxnSpPr/>
        </xdr:nvCxnSpPr>
        <xdr:spPr>
          <a:xfrm>
            <a:off x="2105026" y="22812375"/>
            <a:ext cx="0" cy="3571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" name="Straight Arrow Connector 188">
            <a:extLst>
              <a:ext uri="{FF2B5EF4-FFF2-40B4-BE49-F238E27FC236}">
                <a16:creationId xmlns:a16="http://schemas.microsoft.com/office/drawing/2014/main" id="{5B2CC6E8-30AE-49BB-9E53-D651C46BE969}"/>
              </a:ext>
            </a:extLst>
          </xdr:cNvPr>
          <xdr:cNvCxnSpPr/>
        </xdr:nvCxnSpPr>
        <xdr:spPr>
          <a:xfrm>
            <a:off x="1943101" y="22902863"/>
            <a:ext cx="0" cy="25717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" name="Straight Arrow Connector 189">
            <a:extLst>
              <a:ext uri="{FF2B5EF4-FFF2-40B4-BE49-F238E27FC236}">
                <a16:creationId xmlns:a16="http://schemas.microsoft.com/office/drawing/2014/main" id="{743D0C64-F85E-4D39-A317-3CD6AD9096DF}"/>
              </a:ext>
            </a:extLst>
          </xdr:cNvPr>
          <xdr:cNvCxnSpPr/>
        </xdr:nvCxnSpPr>
        <xdr:spPr>
          <a:xfrm>
            <a:off x="1781176" y="22993350"/>
            <a:ext cx="0" cy="1714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1" name="Straight Arrow Connector 190">
            <a:extLst>
              <a:ext uri="{FF2B5EF4-FFF2-40B4-BE49-F238E27FC236}">
                <a16:creationId xmlns:a16="http://schemas.microsoft.com/office/drawing/2014/main" id="{B53B7DC4-6CA2-4C44-B9D1-F58C7665784D}"/>
              </a:ext>
            </a:extLst>
          </xdr:cNvPr>
          <xdr:cNvCxnSpPr/>
        </xdr:nvCxnSpPr>
        <xdr:spPr>
          <a:xfrm>
            <a:off x="1619251" y="23069550"/>
            <a:ext cx="0" cy="1000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" name="Straight Arrow Connector 191">
            <a:extLst>
              <a:ext uri="{FF2B5EF4-FFF2-40B4-BE49-F238E27FC236}">
                <a16:creationId xmlns:a16="http://schemas.microsoft.com/office/drawing/2014/main" id="{E0172E49-9E53-4D9D-AB87-8E11FB3A5A8E}"/>
              </a:ext>
            </a:extLst>
          </xdr:cNvPr>
          <xdr:cNvCxnSpPr/>
        </xdr:nvCxnSpPr>
        <xdr:spPr>
          <a:xfrm>
            <a:off x="2914649" y="22736175"/>
            <a:ext cx="0" cy="42386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" name="Straight Arrow Connector 192">
            <a:extLst>
              <a:ext uri="{FF2B5EF4-FFF2-40B4-BE49-F238E27FC236}">
                <a16:creationId xmlns:a16="http://schemas.microsoft.com/office/drawing/2014/main" id="{09DB1664-AD59-44BC-8C11-820D8D335B03}"/>
              </a:ext>
            </a:extLst>
          </xdr:cNvPr>
          <xdr:cNvCxnSpPr/>
        </xdr:nvCxnSpPr>
        <xdr:spPr>
          <a:xfrm>
            <a:off x="3076575" y="22740938"/>
            <a:ext cx="0" cy="42386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" name="Straight Arrow Connector 193">
            <a:extLst>
              <a:ext uri="{FF2B5EF4-FFF2-40B4-BE49-F238E27FC236}">
                <a16:creationId xmlns:a16="http://schemas.microsoft.com/office/drawing/2014/main" id="{41152953-C71F-487A-81D1-584B88AB86E4}"/>
              </a:ext>
            </a:extLst>
          </xdr:cNvPr>
          <xdr:cNvCxnSpPr/>
        </xdr:nvCxnSpPr>
        <xdr:spPr>
          <a:xfrm>
            <a:off x="3238500" y="22740938"/>
            <a:ext cx="0" cy="42862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" name="Straight Arrow Connector 194">
            <a:extLst>
              <a:ext uri="{FF2B5EF4-FFF2-40B4-BE49-F238E27FC236}">
                <a16:creationId xmlns:a16="http://schemas.microsoft.com/office/drawing/2014/main" id="{B3F8434C-B19E-442D-AD74-92E16B648A8B}"/>
              </a:ext>
            </a:extLst>
          </xdr:cNvPr>
          <xdr:cNvCxnSpPr/>
        </xdr:nvCxnSpPr>
        <xdr:spPr>
          <a:xfrm>
            <a:off x="3400425" y="22812375"/>
            <a:ext cx="0" cy="35242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6" name="Straight Arrow Connector 195">
            <a:extLst>
              <a:ext uri="{FF2B5EF4-FFF2-40B4-BE49-F238E27FC236}">
                <a16:creationId xmlns:a16="http://schemas.microsoft.com/office/drawing/2014/main" id="{58995646-3CBE-40B4-8151-792389DAA94A}"/>
              </a:ext>
            </a:extLst>
          </xdr:cNvPr>
          <xdr:cNvCxnSpPr/>
        </xdr:nvCxnSpPr>
        <xdr:spPr>
          <a:xfrm>
            <a:off x="3562350" y="22907625"/>
            <a:ext cx="0" cy="25717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7" name="Straight Arrow Connector 196">
            <a:extLst>
              <a:ext uri="{FF2B5EF4-FFF2-40B4-BE49-F238E27FC236}">
                <a16:creationId xmlns:a16="http://schemas.microsoft.com/office/drawing/2014/main" id="{5FA39D3C-BD7F-4DA1-8B26-61CF40F37C4B}"/>
              </a:ext>
            </a:extLst>
          </xdr:cNvPr>
          <xdr:cNvCxnSpPr/>
        </xdr:nvCxnSpPr>
        <xdr:spPr>
          <a:xfrm>
            <a:off x="3724275" y="22993350"/>
            <a:ext cx="0" cy="1714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8" name="Straight Arrow Connector 197">
            <a:extLst>
              <a:ext uri="{FF2B5EF4-FFF2-40B4-BE49-F238E27FC236}">
                <a16:creationId xmlns:a16="http://schemas.microsoft.com/office/drawing/2014/main" id="{BC42D594-E90F-4DCF-8AE5-DE077681A781}"/>
              </a:ext>
            </a:extLst>
          </xdr:cNvPr>
          <xdr:cNvCxnSpPr/>
        </xdr:nvCxnSpPr>
        <xdr:spPr>
          <a:xfrm>
            <a:off x="3886200" y="23064788"/>
            <a:ext cx="0" cy="1000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CF7C2E6C-8F65-4048-AB2B-C6418B567BE1}"/>
              </a:ext>
            </a:extLst>
          </xdr:cNvPr>
          <xdr:cNvSpPr/>
        </xdr:nvSpPr>
        <xdr:spPr>
          <a:xfrm>
            <a:off x="1457325" y="23260050"/>
            <a:ext cx="2590800" cy="190500"/>
          </a:xfrm>
          <a:prstGeom prst="rect">
            <a:avLst/>
          </a:prstGeom>
          <a:noFill/>
          <a:ln w="6350"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200" name="Straight Arrow Connector 199">
            <a:extLst>
              <a:ext uri="{FF2B5EF4-FFF2-40B4-BE49-F238E27FC236}">
                <a16:creationId xmlns:a16="http://schemas.microsoft.com/office/drawing/2014/main" id="{E2BA0219-274F-4E99-8B26-EEB0304BE6B4}"/>
              </a:ext>
            </a:extLst>
          </xdr:cNvPr>
          <xdr:cNvCxnSpPr/>
        </xdr:nvCxnSpPr>
        <xdr:spPr>
          <a:xfrm>
            <a:off x="1457325" y="23264813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" name="Straight Arrow Connector 200">
            <a:extLst>
              <a:ext uri="{FF2B5EF4-FFF2-40B4-BE49-F238E27FC236}">
                <a16:creationId xmlns:a16="http://schemas.microsoft.com/office/drawing/2014/main" id="{3B639BB0-2FD8-4AF7-ACBC-4E644C672895}"/>
              </a:ext>
            </a:extLst>
          </xdr:cNvPr>
          <xdr:cNvCxnSpPr/>
        </xdr:nvCxnSpPr>
        <xdr:spPr>
          <a:xfrm>
            <a:off x="1619250" y="23260051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2" name="Straight Arrow Connector 201">
            <a:extLst>
              <a:ext uri="{FF2B5EF4-FFF2-40B4-BE49-F238E27FC236}">
                <a16:creationId xmlns:a16="http://schemas.microsoft.com/office/drawing/2014/main" id="{CF002A75-5130-48C7-BC4F-BE99A437254F}"/>
              </a:ext>
            </a:extLst>
          </xdr:cNvPr>
          <xdr:cNvCxnSpPr/>
        </xdr:nvCxnSpPr>
        <xdr:spPr>
          <a:xfrm>
            <a:off x="1781175" y="23260051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" name="Straight Arrow Connector 202">
            <a:extLst>
              <a:ext uri="{FF2B5EF4-FFF2-40B4-BE49-F238E27FC236}">
                <a16:creationId xmlns:a16="http://schemas.microsoft.com/office/drawing/2014/main" id="{EC4773AB-EBE4-43EC-A029-0B15E25D8C64}"/>
              </a:ext>
            </a:extLst>
          </xdr:cNvPr>
          <xdr:cNvCxnSpPr/>
        </xdr:nvCxnSpPr>
        <xdr:spPr>
          <a:xfrm>
            <a:off x="1943100" y="23260052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4" name="Straight Arrow Connector 203">
            <a:extLst>
              <a:ext uri="{FF2B5EF4-FFF2-40B4-BE49-F238E27FC236}">
                <a16:creationId xmlns:a16="http://schemas.microsoft.com/office/drawing/2014/main" id="{1CDA62F2-6655-47E1-AF0E-713426CF0B05}"/>
              </a:ext>
            </a:extLst>
          </xdr:cNvPr>
          <xdr:cNvCxnSpPr/>
        </xdr:nvCxnSpPr>
        <xdr:spPr>
          <a:xfrm>
            <a:off x="2105025" y="23260052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" name="Straight Arrow Connector 204">
            <a:extLst>
              <a:ext uri="{FF2B5EF4-FFF2-40B4-BE49-F238E27FC236}">
                <a16:creationId xmlns:a16="http://schemas.microsoft.com/office/drawing/2014/main" id="{C45AADE4-D451-4E9E-AD5C-58591DCE5288}"/>
              </a:ext>
            </a:extLst>
          </xdr:cNvPr>
          <xdr:cNvCxnSpPr/>
        </xdr:nvCxnSpPr>
        <xdr:spPr>
          <a:xfrm>
            <a:off x="2266950" y="23260052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" name="Straight Arrow Connector 205">
            <a:extLst>
              <a:ext uri="{FF2B5EF4-FFF2-40B4-BE49-F238E27FC236}">
                <a16:creationId xmlns:a16="http://schemas.microsoft.com/office/drawing/2014/main" id="{A6082391-A1B8-48DA-893D-1215A388B76A}"/>
              </a:ext>
            </a:extLst>
          </xdr:cNvPr>
          <xdr:cNvCxnSpPr/>
        </xdr:nvCxnSpPr>
        <xdr:spPr>
          <a:xfrm>
            <a:off x="2428875" y="23260053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7" name="Straight Arrow Connector 206">
            <a:extLst>
              <a:ext uri="{FF2B5EF4-FFF2-40B4-BE49-F238E27FC236}">
                <a16:creationId xmlns:a16="http://schemas.microsoft.com/office/drawing/2014/main" id="{CF3D6C3A-1F7A-481D-AA03-B6C9A38D5F1C}"/>
              </a:ext>
            </a:extLst>
          </xdr:cNvPr>
          <xdr:cNvCxnSpPr/>
        </xdr:nvCxnSpPr>
        <xdr:spPr>
          <a:xfrm>
            <a:off x="2590800" y="23255287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8" name="Straight Arrow Connector 207">
            <a:extLst>
              <a:ext uri="{FF2B5EF4-FFF2-40B4-BE49-F238E27FC236}">
                <a16:creationId xmlns:a16="http://schemas.microsoft.com/office/drawing/2014/main" id="{0ADCAE67-EE1F-4B81-836E-C2F8720BF631}"/>
              </a:ext>
            </a:extLst>
          </xdr:cNvPr>
          <xdr:cNvCxnSpPr/>
        </xdr:nvCxnSpPr>
        <xdr:spPr>
          <a:xfrm>
            <a:off x="2752725" y="23255287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9" name="Straight Arrow Connector 208">
            <a:extLst>
              <a:ext uri="{FF2B5EF4-FFF2-40B4-BE49-F238E27FC236}">
                <a16:creationId xmlns:a16="http://schemas.microsoft.com/office/drawing/2014/main" id="{0647FD4C-9364-4146-B0A6-59CB42BFBDD2}"/>
              </a:ext>
            </a:extLst>
          </xdr:cNvPr>
          <xdr:cNvCxnSpPr/>
        </xdr:nvCxnSpPr>
        <xdr:spPr>
          <a:xfrm>
            <a:off x="2914650" y="23255288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0" name="Straight Arrow Connector 209">
            <a:extLst>
              <a:ext uri="{FF2B5EF4-FFF2-40B4-BE49-F238E27FC236}">
                <a16:creationId xmlns:a16="http://schemas.microsoft.com/office/drawing/2014/main" id="{AFE29236-5E0E-4544-A921-6BFCC8F1DCB4}"/>
              </a:ext>
            </a:extLst>
          </xdr:cNvPr>
          <xdr:cNvCxnSpPr/>
        </xdr:nvCxnSpPr>
        <xdr:spPr>
          <a:xfrm>
            <a:off x="3076575" y="23255288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1" name="Straight Arrow Connector 210">
            <a:extLst>
              <a:ext uri="{FF2B5EF4-FFF2-40B4-BE49-F238E27FC236}">
                <a16:creationId xmlns:a16="http://schemas.microsoft.com/office/drawing/2014/main" id="{F0F2B0DB-A4A1-4372-A21A-D809F520290E}"/>
              </a:ext>
            </a:extLst>
          </xdr:cNvPr>
          <xdr:cNvCxnSpPr/>
        </xdr:nvCxnSpPr>
        <xdr:spPr>
          <a:xfrm>
            <a:off x="3238500" y="23255288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" name="Straight Arrow Connector 211">
            <a:extLst>
              <a:ext uri="{FF2B5EF4-FFF2-40B4-BE49-F238E27FC236}">
                <a16:creationId xmlns:a16="http://schemas.microsoft.com/office/drawing/2014/main" id="{5EBCA6A9-4E9E-445F-8EFA-3563C70593D5}"/>
              </a:ext>
            </a:extLst>
          </xdr:cNvPr>
          <xdr:cNvCxnSpPr/>
        </xdr:nvCxnSpPr>
        <xdr:spPr>
          <a:xfrm>
            <a:off x="3400425" y="23255289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" name="Straight Arrow Connector 212">
            <a:extLst>
              <a:ext uri="{FF2B5EF4-FFF2-40B4-BE49-F238E27FC236}">
                <a16:creationId xmlns:a16="http://schemas.microsoft.com/office/drawing/2014/main" id="{3B6C5B09-ED69-44B5-AB62-047D2925FFAC}"/>
              </a:ext>
            </a:extLst>
          </xdr:cNvPr>
          <xdr:cNvCxnSpPr/>
        </xdr:nvCxnSpPr>
        <xdr:spPr>
          <a:xfrm>
            <a:off x="3562350" y="23260050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4" name="Straight Arrow Connector 213">
            <a:extLst>
              <a:ext uri="{FF2B5EF4-FFF2-40B4-BE49-F238E27FC236}">
                <a16:creationId xmlns:a16="http://schemas.microsoft.com/office/drawing/2014/main" id="{E1EF16E4-1286-4376-A01C-5C1BCFC9B900}"/>
              </a:ext>
            </a:extLst>
          </xdr:cNvPr>
          <xdr:cNvCxnSpPr/>
        </xdr:nvCxnSpPr>
        <xdr:spPr>
          <a:xfrm>
            <a:off x="3724275" y="23260050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5" name="Straight Arrow Connector 214">
            <a:extLst>
              <a:ext uri="{FF2B5EF4-FFF2-40B4-BE49-F238E27FC236}">
                <a16:creationId xmlns:a16="http://schemas.microsoft.com/office/drawing/2014/main" id="{6DF53E5B-2989-4ADF-A4D8-934A3306ED18}"/>
              </a:ext>
            </a:extLst>
          </xdr:cNvPr>
          <xdr:cNvCxnSpPr/>
        </xdr:nvCxnSpPr>
        <xdr:spPr>
          <a:xfrm>
            <a:off x="3886200" y="23260051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6" name="Straight Arrow Connector 215">
            <a:extLst>
              <a:ext uri="{FF2B5EF4-FFF2-40B4-BE49-F238E27FC236}">
                <a16:creationId xmlns:a16="http://schemas.microsoft.com/office/drawing/2014/main" id="{A2EBCEAC-2CF7-4AC4-96FD-365523900291}"/>
              </a:ext>
            </a:extLst>
          </xdr:cNvPr>
          <xdr:cNvCxnSpPr/>
        </xdr:nvCxnSpPr>
        <xdr:spPr>
          <a:xfrm>
            <a:off x="4048125" y="23260051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7" name="Arc 216">
            <a:extLst>
              <a:ext uri="{FF2B5EF4-FFF2-40B4-BE49-F238E27FC236}">
                <a16:creationId xmlns:a16="http://schemas.microsoft.com/office/drawing/2014/main" id="{8BBA8D23-8D2A-4214-AB17-4A71C503FC3D}"/>
              </a:ext>
            </a:extLst>
          </xdr:cNvPr>
          <xdr:cNvSpPr/>
        </xdr:nvSpPr>
        <xdr:spPr>
          <a:xfrm>
            <a:off x="3719513" y="23307675"/>
            <a:ext cx="666750" cy="666750"/>
          </a:xfrm>
          <a:prstGeom prst="arc">
            <a:avLst>
              <a:gd name="adj1" fmla="val 18636078"/>
              <a:gd name="adj2" fmla="val 2586705"/>
            </a:avLst>
          </a:prstGeom>
          <a:ln w="254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18" name="Arc 217">
            <a:extLst>
              <a:ext uri="{FF2B5EF4-FFF2-40B4-BE49-F238E27FC236}">
                <a16:creationId xmlns:a16="http://schemas.microsoft.com/office/drawing/2014/main" id="{342B9C27-3908-4BAC-B038-335E46DB81D3}"/>
              </a:ext>
            </a:extLst>
          </xdr:cNvPr>
          <xdr:cNvSpPr/>
        </xdr:nvSpPr>
        <xdr:spPr>
          <a:xfrm>
            <a:off x="1100138" y="23336250"/>
            <a:ext cx="666750" cy="666750"/>
          </a:xfrm>
          <a:prstGeom prst="arc">
            <a:avLst>
              <a:gd name="adj1" fmla="val 7589785"/>
              <a:gd name="adj2" fmla="val 14145852"/>
            </a:avLst>
          </a:prstGeom>
          <a:ln w="254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19" name="Straight Connector 218">
            <a:extLst>
              <a:ext uri="{FF2B5EF4-FFF2-40B4-BE49-F238E27FC236}">
                <a16:creationId xmlns:a16="http://schemas.microsoft.com/office/drawing/2014/main" id="{AE0DFE54-2A84-40D1-AC8D-82E7ABB4EB9D}"/>
              </a:ext>
            </a:extLst>
          </xdr:cNvPr>
          <xdr:cNvCxnSpPr/>
        </xdr:nvCxnSpPr>
        <xdr:spPr>
          <a:xfrm>
            <a:off x="1457325" y="24307800"/>
            <a:ext cx="0" cy="5000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0" name="Straight Connector 219">
            <a:extLst>
              <a:ext uri="{FF2B5EF4-FFF2-40B4-BE49-F238E27FC236}">
                <a16:creationId xmlns:a16="http://schemas.microsoft.com/office/drawing/2014/main" id="{C5995F14-D9A1-4BF1-AFC8-F51581ACF3BB}"/>
              </a:ext>
            </a:extLst>
          </xdr:cNvPr>
          <xdr:cNvCxnSpPr/>
        </xdr:nvCxnSpPr>
        <xdr:spPr>
          <a:xfrm>
            <a:off x="1395413" y="24450675"/>
            <a:ext cx="27146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1" name="Straight Connector 220">
            <a:extLst>
              <a:ext uri="{FF2B5EF4-FFF2-40B4-BE49-F238E27FC236}">
                <a16:creationId xmlns:a16="http://schemas.microsoft.com/office/drawing/2014/main" id="{18DF7D80-C4C8-412B-B965-490CF663B213}"/>
              </a:ext>
            </a:extLst>
          </xdr:cNvPr>
          <xdr:cNvCxnSpPr/>
        </xdr:nvCxnSpPr>
        <xdr:spPr>
          <a:xfrm flipH="1">
            <a:off x="1419225" y="24417338"/>
            <a:ext cx="71438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2" name="Straight Connector 221">
            <a:extLst>
              <a:ext uri="{FF2B5EF4-FFF2-40B4-BE49-F238E27FC236}">
                <a16:creationId xmlns:a16="http://schemas.microsoft.com/office/drawing/2014/main" id="{12BAB7C4-E7E3-43E9-AA17-3205063E5364}"/>
              </a:ext>
            </a:extLst>
          </xdr:cNvPr>
          <xdr:cNvCxnSpPr/>
        </xdr:nvCxnSpPr>
        <xdr:spPr>
          <a:xfrm>
            <a:off x="1395413" y="24736425"/>
            <a:ext cx="27146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3" name="Straight Connector 222">
            <a:extLst>
              <a:ext uri="{FF2B5EF4-FFF2-40B4-BE49-F238E27FC236}">
                <a16:creationId xmlns:a16="http://schemas.microsoft.com/office/drawing/2014/main" id="{93864359-6A45-4FCD-A5AF-841F6994134D}"/>
              </a:ext>
            </a:extLst>
          </xdr:cNvPr>
          <xdr:cNvCxnSpPr/>
        </xdr:nvCxnSpPr>
        <xdr:spPr>
          <a:xfrm flipH="1">
            <a:off x="1419225" y="24693563"/>
            <a:ext cx="71438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4" name="Straight Connector 223">
            <a:extLst>
              <a:ext uri="{FF2B5EF4-FFF2-40B4-BE49-F238E27FC236}">
                <a16:creationId xmlns:a16="http://schemas.microsoft.com/office/drawing/2014/main" id="{F96BDF15-F38B-4EDE-9096-20D60C3831A2}"/>
              </a:ext>
            </a:extLst>
          </xdr:cNvPr>
          <xdr:cNvCxnSpPr/>
        </xdr:nvCxnSpPr>
        <xdr:spPr>
          <a:xfrm>
            <a:off x="4048125" y="24322088"/>
            <a:ext cx="0" cy="4810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5" name="Straight Connector 224">
            <a:extLst>
              <a:ext uri="{FF2B5EF4-FFF2-40B4-BE49-F238E27FC236}">
                <a16:creationId xmlns:a16="http://schemas.microsoft.com/office/drawing/2014/main" id="{9022BF73-EEC4-42CA-A272-82B5D2ACDB5B}"/>
              </a:ext>
            </a:extLst>
          </xdr:cNvPr>
          <xdr:cNvCxnSpPr/>
        </xdr:nvCxnSpPr>
        <xdr:spPr>
          <a:xfrm flipH="1">
            <a:off x="4010025" y="24412575"/>
            <a:ext cx="71438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6" name="Straight Connector 225">
            <a:extLst>
              <a:ext uri="{FF2B5EF4-FFF2-40B4-BE49-F238E27FC236}">
                <a16:creationId xmlns:a16="http://schemas.microsoft.com/office/drawing/2014/main" id="{23BD7479-1671-464A-97A7-1D0FBD4A08B0}"/>
              </a:ext>
            </a:extLst>
          </xdr:cNvPr>
          <xdr:cNvCxnSpPr/>
        </xdr:nvCxnSpPr>
        <xdr:spPr>
          <a:xfrm flipH="1">
            <a:off x="4010025" y="24698325"/>
            <a:ext cx="71438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7" name="Straight Arrow Connector 226">
            <a:extLst>
              <a:ext uri="{FF2B5EF4-FFF2-40B4-BE49-F238E27FC236}">
                <a16:creationId xmlns:a16="http://schemas.microsoft.com/office/drawing/2014/main" id="{89DC21AD-903E-464A-B6D3-7EA0077DA847}"/>
              </a:ext>
            </a:extLst>
          </xdr:cNvPr>
          <xdr:cNvCxnSpPr/>
        </xdr:nvCxnSpPr>
        <xdr:spPr>
          <a:xfrm>
            <a:off x="1457325" y="23874413"/>
            <a:ext cx="0" cy="295275"/>
          </a:xfrm>
          <a:prstGeom prst="straightConnector1">
            <a:avLst/>
          </a:prstGeom>
          <a:ln w="254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8" name="Straight Arrow Connector 227">
            <a:extLst>
              <a:ext uri="{FF2B5EF4-FFF2-40B4-BE49-F238E27FC236}">
                <a16:creationId xmlns:a16="http://schemas.microsoft.com/office/drawing/2014/main" id="{F2D77BEE-F455-433F-8230-7E6A6B9F71C2}"/>
              </a:ext>
            </a:extLst>
          </xdr:cNvPr>
          <xdr:cNvCxnSpPr/>
        </xdr:nvCxnSpPr>
        <xdr:spPr>
          <a:xfrm>
            <a:off x="4048125" y="23879176"/>
            <a:ext cx="0" cy="280987"/>
          </a:xfrm>
          <a:prstGeom prst="straightConnector1">
            <a:avLst/>
          </a:prstGeom>
          <a:ln w="254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9" name="Straight Connector 228">
            <a:extLst>
              <a:ext uri="{FF2B5EF4-FFF2-40B4-BE49-F238E27FC236}">
                <a16:creationId xmlns:a16="http://schemas.microsoft.com/office/drawing/2014/main" id="{B71DC252-E5D9-4476-BCF1-6D45E1148528}"/>
              </a:ext>
            </a:extLst>
          </xdr:cNvPr>
          <xdr:cNvCxnSpPr/>
        </xdr:nvCxnSpPr>
        <xdr:spPr>
          <a:xfrm>
            <a:off x="1295400" y="24826913"/>
            <a:ext cx="0" cy="2714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0" name="Straight Connector 229">
            <a:extLst>
              <a:ext uri="{FF2B5EF4-FFF2-40B4-BE49-F238E27FC236}">
                <a16:creationId xmlns:a16="http://schemas.microsoft.com/office/drawing/2014/main" id="{C6A81C61-3D97-40F8-9EFE-D42ED4437ACB}"/>
              </a:ext>
            </a:extLst>
          </xdr:cNvPr>
          <xdr:cNvCxnSpPr/>
        </xdr:nvCxnSpPr>
        <xdr:spPr>
          <a:xfrm>
            <a:off x="1233488" y="25022175"/>
            <a:ext cx="4476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1" name="Straight Connector 230">
            <a:extLst>
              <a:ext uri="{FF2B5EF4-FFF2-40B4-BE49-F238E27FC236}">
                <a16:creationId xmlns:a16="http://schemas.microsoft.com/office/drawing/2014/main" id="{F0D08661-4BEA-4C2C-8AEC-C5F57FDC2411}"/>
              </a:ext>
            </a:extLst>
          </xdr:cNvPr>
          <xdr:cNvCxnSpPr/>
        </xdr:nvCxnSpPr>
        <xdr:spPr>
          <a:xfrm flipH="1">
            <a:off x="1257300" y="24979311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2" name="Straight Connector 231">
            <a:extLst>
              <a:ext uri="{FF2B5EF4-FFF2-40B4-BE49-F238E27FC236}">
                <a16:creationId xmlns:a16="http://schemas.microsoft.com/office/drawing/2014/main" id="{BD2BE2F1-D92C-4E15-A4C6-7935CA259B76}"/>
              </a:ext>
            </a:extLst>
          </xdr:cNvPr>
          <xdr:cNvCxnSpPr/>
        </xdr:nvCxnSpPr>
        <xdr:spPr>
          <a:xfrm>
            <a:off x="1619250" y="24798338"/>
            <a:ext cx="0" cy="2905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3" name="Straight Connector 232">
            <a:extLst>
              <a:ext uri="{FF2B5EF4-FFF2-40B4-BE49-F238E27FC236}">
                <a16:creationId xmlns:a16="http://schemas.microsoft.com/office/drawing/2014/main" id="{631D8704-043D-43DA-B40C-F34A6F665DB6}"/>
              </a:ext>
            </a:extLst>
          </xdr:cNvPr>
          <xdr:cNvCxnSpPr/>
        </xdr:nvCxnSpPr>
        <xdr:spPr>
          <a:xfrm flipH="1">
            <a:off x="1581150" y="24979311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4" name="Straight Connector 233">
            <a:extLst>
              <a:ext uri="{FF2B5EF4-FFF2-40B4-BE49-F238E27FC236}">
                <a16:creationId xmlns:a16="http://schemas.microsoft.com/office/drawing/2014/main" id="{03B4DF05-9102-461F-B73E-6015C4C9A144}"/>
              </a:ext>
            </a:extLst>
          </xdr:cNvPr>
          <xdr:cNvCxnSpPr/>
        </xdr:nvCxnSpPr>
        <xdr:spPr>
          <a:xfrm>
            <a:off x="2233608" y="23679150"/>
            <a:ext cx="0" cy="842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5" name="Straight Connector 234">
            <a:extLst>
              <a:ext uri="{FF2B5EF4-FFF2-40B4-BE49-F238E27FC236}">
                <a16:creationId xmlns:a16="http://schemas.microsoft.com/office/drawing/2014/main" id="{10CD8573-F9BA-4B30-BA28-B89A672CDAC4}"/>
              </a:ext>
            </a:extLst>
          </xdr:cNvPr>
          <xdr:cNvCxnSpPr/>
        </xdr:nvCxnSpPr>
        <xdr:spPr>
          <a:xfrm flipH="1">
            <a:off x="2195508" y="24412576"/>
            <a:ext cx="71438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6" name="Straight Connector 235">
            <a:extLst>
              <a:ext uri="{FF2B5EF4-FFF2-40B4-BE49-F238E27FC236}">
                <a16:creationId xmlns:a16="http://schemas.microsoft.com/office/drawing/2014/main" id="{FAE94011-1269-4938-A02B-F5F3A300F142}"/>
              </a:ext>
            </a:extLst>
          </xdr:cNvPr>
          <xdr:cNvCxnSpPr/>
        </xdr:nvCxnSpPr>
        <xdr:spPr>
          <a:xfrm flipV="1">
            <a:off x="3076575" y="22288500"/>
            <a:ext cx="722921" cy="7048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7" name="Straight Connector 236">
            <a:extLst>
              <a:ext uri="{FF2B5EF4-FFF2-40B4-BE49-F238E27FC236}">
                <a16:creationId xmlns:a16="http://schemas.microsoft.com/office/drawing/2014/main" id="{2DE40E71-2FBA-4EB0-A883-B905E8E7F037}"/>
              </a:ext>
            </a:extLst>
          </xdr:cNvPr>
          <xdr:cNvCxnSpPr/>
        </xdr:nvCxnSpPr>
        <xdr:spPr>
          <a:xfrm flipV="1">
            <a:off x="3400425" y="22850475"/>
            <a:ext cx="507512" cy="49482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8" name="Straight Connector 237">
            <a:extLst>
              <a:ext uri="{FF2B5EF4-FFF2-40B4-BE49-F238E27FC236}">
                <a16:creationId xmlns:a16="http://schemas.microsoft.com/office/drawing/2014/main" id="{32F54943-FD8D-42EF-B1EE-17A84A524149}"/>
              </a:ext>
            </a:extLst>
          </xdr:cNvPr>
          <xdr:cNvCxnSpPr/>
        </xdr:nvCxnSpPr>
        <xdr:spPr>
          <a:xfrm>
            <a:off x="3886200" y="24826913"/>
            <a:ext cx="0" cy="2714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9" name="Straight Connector 238">
            <a:extLst>
              <a:ext uri="{FF2B5EF4-FFF2-40B4-BE49-F238E27FC236}">
                <a16:creationId xmlns:a16="http://schemas.microsoft.com/office/drawing/2014/main" id="{B410574B-C702-4C68-9CA9-E939C8BC13EE}"/>
              </a:ext>
            </a:extLst>
          </xdr:cNvPr>
          <xdr:cNvCxnSpPr/>
        </xdr:nvCxnSpPr>
        <xdr:spPr>
          <a:xfrm>
            <a:off x="3824288" y="25022175"/>
            <a:ext cx="4476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0" name="Straight Connector 239">
            <a:extLst>
              <a:ext uri="{FF2B5EF4-FFF2-40B4-BE49-F238E27FC236}">
                <a16:creationId xmlns:a16="http://schemas.microsoft.com/office/drawing/2014/main" id="{FC0B8E22-F4AA-42C4-AC85-0C047EDF9B74}"/>
              </a:ext>
            </a:extLst>
          </xdr:cNvPr>
          <xdr:cNvCxnSpPr/>
        </xdr:nvCxnSpPr>
        <xdr:spPr>
          <a:xfrm flipH="1">
            <a:off x="3848100" y="24979311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1" name="Straight Connector 240">
            <a:extLst>
              <a:ext uri="{FF2B5EF4-FFF2-40B4-BE49-F238E27FC236}">
                <a16:creationId xmlns:a16="http://schemas.microsoft.com/office/drawing/2014/main" id="{EAA5DF15-6FBB-48EF-B011-998AB6939744}"/>
              </a:ext>
            </a:extLst>
          </xdr:cNvPr>
          <xdr:cNvCxnSpPr/>
        </xdr:nvCxnSpPr>
        <xdr:spPr>
          <a:xfrm>
            <a:off x="4210050" y="24798338"/>
            <a:ext cx="0" cy="2905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2" name="Straight Connector 241">
            <a:extLst>
              <a:ext uri="{FF2B5EF4-FFF2-40B4-BE49-F238E27FC236}">
                <a16:creationId xmlns:a16="http://schemas.microsoft.com/office/drawing/2014/main" id="{2AC3CF1C-039A-41B9-8DFD-58ABCC7B38DD}"/>
              </a:ext>
            </a:extLst>
          </xdr:cNvPr>
          <xdr:cNvCxnSpPr/>
        </xdr:nvCxnSpPr>
        <xdr:spPr>
          <a:xfrm flipH="1">
            <a:off x="4171950" y="24979311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1" name="Trapezoid 250">
            <a:extLst>
              <a:ext uri="{FF2B5EF4-FFF2-40B4-BE49-F238E27FC236}">
                <a16:creationId xmlns:a16="http://schemas.microsoft.com/office/drawing/2014/main" id="{8A97722D-F038-4BC3-BE31-C680AEF50338}"/>
              </a:ext>
            </a:extLst>
          </xdr:cNvPr>
          <xdr:cNvSpPr/>
        </xdr:nvSpPr>
        <xdr:spPr>
          <a:xfrm>
            <a:off x="1457325" y="22736175"/>
            <a:ext cx="2590800" cy="423863"/>
          </a:xfrm>
          <a:prstGeom prst="trapezoid">
            <a:avLst>
              <a:gd name="adj" fmla="val 187500"/>
            </a:avLst>
          </a:prstGeom>
          <a:noFill/>
          <a:ln w="6350"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52" name="Straight Connector 251">
            <a:extLst>
              <a:ext uri="{FF2B5EF4-FFF2-40B4-BE49-F238E27FC236}">
                <a16:creationId xmlns:a16="http://schemas.microsoft.com/office/drawing/2014/main" id="{A9093DD3-6F0D-4409-95D9-8BB7BFD3AEC7}"/>
              </a:ext>
            </a:extLst>
          </xdr:cNvPr>
          <xdr:cNvCxnSpPr/>
        </xdr:nvCxnSpPr>
        <xdr:spPr>
          <a:xfrm>
            <a:off x="3276600" y="23679150"/>
            <a:ext cx="0" cy="842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3" name="Straight Connector 252">
            <a:extLst>
              <a:ext uri="{FF2B5EF4-FFF2-40B4-BE49-F238E27FC236}">
                <a16:creationId xmlns:a16="http://schemas.microsoft.com/office/drawing/2014/main" id="{DE601B67-495C-42C9-B8EF-0CD327B8A02B}"/>
              </a:ext>
            </a:extLst>
          </xdr:cNvPr>
          <xdr:cNvCxnSpPr/>
        </xdr:nvCxnSpPr>
        <xdr:spPr>
          <a:xfrm flipH="1">
            <a:off x="3238500" y="24412576"/>
            <a:ext cx="71438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4" name="Straight Connector 253">
            <a:extLst>
              <a:ext uri="{FF2B5EF4-FFF2-40B4-BE49-F238E27FC236}">
                <a16:creationId xmlns:a16="http://schemas.microsoft.com/office/drawing/2014/main" id="{2D949850-321D-4822-99F9-09D4685DC016}"/>
              </a:ext>
            </a:extLst>
          </xdr:cNvPr>
          <xdr:cNvCxnSpPr/>
        </xdr:nvCxnSpPr>
        <xdr:spPr>
          <a:xfrm>
            <a:off x="2238375" y="23545799"/>
            <a:ext cx="0" cy="100013"/>
          </a:xfrm>
          <a:prstGeom prst="line">
            <a:avLst/>
          </a:prstGeom>
          <a:ln w="1905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5" name="Straight Connector 254">
            <a:extLst>
              <a:ext uri="{FF2B5EF4-FFF2-40B4-BE49-F238E27FC236}">
                <a16:creationId xmlns:a16="http://schemas.microsoft.com/office/drawing/2014/main" id="{EEDA7B9A-667A-44B6-AABC-F2817DBB0814}"/>
              </a:ext>
            </a:extLst>
          </xdr:cNvPr>
          <xdr:cNvCxnSpPr/>
        </xdr:nvCxnSpPr>
        <xdr:spPr>
          <a:xfrm>
            <a:off x="2757488" y="23541037"/>
            <a:ext cx="0" cy="100013"/>
          </a:xfrm>
          <a:prstGeom prst="line">
            <a:avLst/>
          </a:prstGeom>
          <a:ln w="1905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6" name="Straight Connector 255">
            <a:extLst>
              <a:ext uri="{FF2B5EF4-FFF2-40B4-BE49-F238E27FC236}">
                <a16:creationId xmlns:a16="http://schemas.microsoft.com/office/drawing/2014/main" id="{44F36976-5A66-4BF1-8DB4-F96C0D4A2182}"/>
              </a:ext>
            </a:extLst>
          </xdr:cNvPr>
          <xdr:cNvCxnSpPr/>
        </xdr:nvCxnSpPr>
        <xdr:spPr>
          <a:xfrm>
            <a:off x="3281363" y="23545800"/>
            <a:ext cx="0" cy="100013"/>
          </a:xfrm>
          <a:prstGeom prst="line">
            <a:avLst/>
          </a:prstGeom>
          <a:ln w="1905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7" name="Isosceles Triangle 256">
            <a:extLst>
              <a:ext uri="{FF2B5EF4-FFF2-40B4-BE49-F238E27FC236}">
                <a16:creationId xmlns:a16="http://schemas.microsoft.com/office/drawing/2014/main" id="{AC7DCBF9-D02A-4CC8-B300-C2185AA9CB89}"/>
              </a:ext>
            </a:extLst>
          </xdr:cNvPr>
          <xdr:cNvSpPr/>
        </xdr:nvSpPr>
        <xdr:spPr>
          <a:xfrm>
            <a:off x="1457324" y="21926550"/>
            <a:ext cx="2590801" cy="704850"/>
          </a:xfrm>
          <a:prstGeom prst="triangle">
            <a:avLst/>
          </a:prstGeom>
          <a:noFill/>
          <a:ln w="6350"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58" name="Straight Arrow Connector 257">
            <a:extLst>
              <a:ext uri="{FF2B5EF4-FFF2-40B4-BE49-F238E27FC236}">
                <a16:creationId xmlns:a16="http://schemas.microsoft.com/office/drawing/2014/main" id="{A43604E6-8566-4D4B-9208-07B727E1FC49}"/>
              </a:ext>
            </a:extLst>
          </xdr:cNvPr>
          <xdr:cNvCxnSpPr/>
        </xdr:nvCxnSpPr>
        <xdr:spPr>
          <a:xfrm>
            <a:off x="2752726" y="21931313"/>
            <a:ext cx="0" cy="69532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9" name="Straight Arrow Connector 258">
            <a:extLst>
              <a:ext uri="{FF2B5EF4-FFF2-40B4-BE49-F238E27FC236}">
                <a16:creationId xmlns:a16="http://schemas.microsoft.com/office/drawing/2014/main" id="{C5B44A98-0A8E-48C4-B430-7CE6930E4A61}"/>
              </a:ext>
            </a:extLst>
          </xdr:cNvPr>
          <xdr:cNvCxnSpPr/>
        </xdr:nvCxnSpPr>
        <xdr:spPr>
          <a:xfrm>
            <a:off x="2590801" y="22012275"/>
            <a:ext cx="0" cy="61912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0" name="Straight Arrow Connector 259">
            <a:extLst>
              <a:ext uri="{FF2B5EF4-FFF2-40B4-BE49-F238E27FC236}">
                <a16:creationId xmlns:a16="http://schemas.microsoft.com/office/drawing/2014/main" id="{F08DA50E-3769-426A-882C-464C2CE42AAB}"/>
              </a:ext>
            </a:extLst>
          </xdr:cNvPr>
          <xdr:cNvCxnSpPr/>
        </xdr:nvCxnSpPr>
        <xdr:spPr>
          <a:xfrm>
            <a:off x="2428876" y="22102763"/>
            <a:ext cx="0" cy="52387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1" name="Straight Arrow Connector 260">
            <a:extLst>
              <a:ext uri="{FF2B5EF4-FFF2-40B4-BE49-F238E27FC236}">
                <a16:creationId xmlns:a16="http://schemas.microsoft.com/office/drawing/2014/main" id="{6E65D3F8-E1FC-421C-9517-BAB57C5C1974}"/>
              </a:ext>
            </a:extLst>
          </xdr:cNvPr>
          <xdr:cNvCxnSpPr/>
        </xdr:nvCxnSpPr>
        <xdr:spPr>
          <a:xfrm>
            <a:off x="2266951" y="22183725"/>
            <a:ext cx="0" cy="4429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2" name="Straight Arrow Connector 261">
            <a:extLst>
              <a:ext uri="{FF2B5EF4-FFF2-40B4-BE49-F238E27FC236}">
                <a16:creationId xmlns:a16="http://schemas.microsoft.com/office/drawing/2014/main" id="{A9AE53AE-530E-40AF-8380-287066725941}"/>
              </a:ext>
            </a:extLst>
          </xdr:cNvPr>
          <xdr:cNvCxnSpPr/>
        </xdr:nvCxnSpPr>
        <xdr:spPr>
          <a:xfrm>
            <a:off x="2105026" y="22278975"/>
            <a:ext cx="0" cy="3571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3" name="Straight Arrow Connector 262">
            <a:extLst>
              <a:ext uri="{FF2B5EF4-FFF2-40B4-BE49-F238E27FC236}">
                <a16:creationId xmlns:a16="http://schemas.microsoft.com/office/drawing/2014/main" id="{5AC5CBC9-A0D5-4F9B-8996-AA3AE31B6711}"/>
              </a:ext>
            </a:extLst>
          </xdr:cNvPr>
          <xdr:cNvCxnSpPr/>
        </xdr:nvCxnSpPr>
        <xdr:spPr>
          <a:xfrm>
            <a:off x="1943101" y="22369463"/>
            <a:ext cx="0" cy="25717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4" name="Straight Arrow Connector 263">
            <a:extLst>
              <a:ext uri="{FF2B5EF4-FFF2-40B4-BE49-F238E27FC236}">
                <a16:creationId xmlns:a16="http://schemas.microsoft.com/office/drawing/2014/main" id="{84520D30-8D3E-40B1-B677-222FA6D6CBF2}"/>
              </a:ext>
            </a:extLst>
          </xdr:cNvPr>
          <xdr:cNvCxnSpPr/>
        </xdr:nvCxnSpPr>
        <xdr:spPr>
          <a:xfrm>
            <a:off x="1781176" y="22459950"/>
            <a:ext cx="0" cy="1714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5" name="Straight Arrow Connector 264">
            <a:extLst>
              <a:ext uri="{FF2B5EF4-FFF2-40B4-BE49-F238E27FC236}">
                <a16:creationId xmlns:a16="http://schemas.microsoft.com/office/drawing/2014/main" id="{C495D10C-B4A4-4CBC-8AB0-57E69500315F}"/>
              </a:ext>
            </a:extLst>
          </xdr:cNvPr>
          <xdr:cNvCxnSpPr/>
        </xdr:nvCxnSpPr>
        <xdr:spPr>
          <a:xfrm>
            <a:off x="1619251" y="22536150"/>
            <a:ext cx="0" cy="1000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6" name="Straight Arrow Connector 265">
            <a:extLst>
              <a:ext uri="{FF2B5EF4-FFF2-40B4-BE49-F238E27FC236}">
                <a16:creationId xmlns:a16="http://schemas.microsoft.com/office/drawing/2014/main" id="{FDB17BA6-3510-45CC-93A3-295104357472}"/>
              </a:ext>
            </a:extLst>
          </xdr:cNvPr>
          <xdr:cNvCxnSpPr/>
        </xdr:nvCxnSpPr>
        <xdr:spPr>
          <a:xfrm>
            <a:off x="2914649" y="22007512"/>
            <a:ext cx="0" cy="61912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7" name="Straight Arrow Connector 266">
            <a:extLst>
              <a:ext uri="{FF2B5EF4-FFF2-40B4-BE49-F238E27FC236}">
                <a16:creationId xmlns:a16="http://schemas.microsoft.com/office/drawing/2014/main" id="{185D70E9-978E-4A7D-9D16-747E7D03A6DE}"/>
              </a:ext>
            </a:extLst>
          </xdr:cNvPr>
          <xdr:cNvCxnSpPr/>
        </xdr:nvCxnSpPr>
        <xdr:spPr>
          <a:xfrm>
            <a:off x="3076575" y="22107526"/>
            <a:ext cx="0" cy="52387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8" name="Straight Arrow Connector 267">
            <a:extLst>
              <a:ext uri="{FF2B5EF4-FFF2-40B4-BE49-F238E27FC236}">
                <a16:creationId xmlns:a16="http://schemas.microsoft.com/office/drawing/2014/main" id="{A446B3AB-0E79-4DBC-99F1-83DC89027E17}"/>
              </a:ext>
            </a:extLst>
          </xdr:cNvPr>
          <xdr:cNvCxnSpPr/>
        </xdr:nvCxnSpPr>
        <xdr:spPr>
          <a:xfrm>
            <a:off x="3238500" y="22193250"/>
            <a:ext cx="0" cy="4429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9" name="Straight Arrow Connector 268">
            <a:extLst>
              <a:ext uri="{FF2B5EF4-FFF2-40B4-BE49-F238E27FC236}">
                <a16:creationId xmlns:a16="http://schemas.microsoft.com/office/drawing/2014/main" id="{9850D0BD-F735-421F-826A-0C8EBE8A0991}"/>
              </a:ext>
            </a:extLst>
          </xdr:cNvPr>
          <xdr:cNvCxnSpPr/>
        </xdr:nvCxnSpPr>
        <xdr:spPr>
          <a:xfrm>
            <a:off x="3400425" y="22274212"/>
            <a:ext cx="0" cy="3571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0" name="Straight Arrow Connector 269">
            <a:extLst>
              <a:ext uri="{FF2B5EF4-FFF2-40B4-BE49-F238E27FC236}">
                <a16:creationId xmlns:a16="http://schemas.microsoft.com/office/drawing/2014/main" id="{9ACC35EF-71CA-483F-B873-01D1D3FBAB6F}"/>
              </a:ext>
            </a:extLst>
          </xdr:cNvPr>
          <xdr:cNvCxnSpPr/>
        </xdr:nvCxnSpPr>
        <xdr:spPr>
          <a:xfrm>
            <a:off x="3562350" y="22374225"/>
            <a:ext cx="0" cy="25717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1" name="Straight Arrow Connector 270">
            <a:extLst>
              <a:ext uri="{FF2B5EF4-FFF2-40B4-BE49-F238E27FC236}">
                <a16:creationId xmlns:a16="http://schemas.microsoft.com/office/drawing/2014/main" id="{2557B03C-4778-4D88-8015-E2347684505C}"/>
              </a:ext>
            </a:extLst>
          </xdr:cNvPr>
          <xdr:cNvCxnSpPr/>
        </xdr:nvCxnSpPr>
        <xdr:spPr>
          <a:xfrm>
            <a:off x="3724275" y="22459950"/>
            <a:ext cx="0" cy="1714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2" name="Straight Arrow Connector 271">
            <a:extLst>
              <a:ext uri="{FF2B5EF4-FFF2-40B4-BE49-F238E27FC236}">
                <a16:creationId xmlns:a16="http://schemas.microsoft.com/office/drawing/2014/main" id="{A5195AE0-CB10-4C68-A5B0-462554BB665D}"/>
              </a:ext>
            </a:extLst>
          </xdr:cNvPr>
          <xdr:cNvCxnSpPr/>
        </xdr:nvCxnSpPr>
        <xdr:spPr>
          <a:xfrm>
            <a:off x="3886200" y="22531388"/>
            <a:ext cx="0" cy="1000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6" name="Straight Connector 285">
            <a:extLst>
              <a:ext uri="{FF2B5EF4-FFF2-40B4-BE49-F238E27FC236}">
                <a16:creationId xmlns:a16="http://schemas.microsoft.com/office/drawing/2014/main" id="{7C3F95E1-CE19-41E7-B58E-1B6E0078C145}"/>
              </a:ext>
            </a:extLst>
          </xdr:cNvPr>
          <xdr:cNvCxnSpPr/>
        </xdr:nvCxnSpPr>
        <xdr:spPr>
          <a:xfrm flipV="1">
            <a:off x="2752725" y="21907500"/>
            <a:ext cx="381000" cy="3714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8" name="Straight Connector 287">
            <a:extLst>
              <a:ext uri="{FF2B5EF4-FFF2-40B4-BE49-F238E27FC236}">
                <a16:creationId xmlns:a16="http://schemas.microsoft.com/office/drawing/2014/main" id="{DD5E9A1F-9C28-4DCC-997C-501DAB701096}"/>
              </a:ext>
            </a:extLst>
          </xdr:cNvPr>
          <xdr:cNvCxnSpPr/>
        </xdr:nvCxnSpPr>
        <xdr:spPr>
          <a:xfrm flipV="1">
            <a:off x="3238500" y="21983700"/>
            <a:ext cx="381000" cy="3714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36</xdr:col>
      <xdr:colOff>0</xdr:colOff>
      <xdr:row>78</xdr:row>
      <xdr:rowOff>76201</xdr:rowOff>
    </xdr:from>
    <xdr:to>
      <xdr:col>44</xdr:col>
      <xdr:colOff>76200</xdr:colOff>
      <xdr:row>82</xdr:row>
      <xdr:rowOff>138113</xdr:rowOff>
    </xdr:to>
    <xdr:grpSp>
      <xdr:nvGrpSpPr>
        <xdr:cNvPr id="25" name="Group 24">
          <a:extLst>
            <a:ext uri="{FF2B5EF4-FFF2-40B4-BE49-F238E27FC236}">
              <a16:creationId xmlns:a16="http://schemas.microsoft.com/office/drawing/2014/main" id="{22FA9D2E-00F5-46D1-917D-47C4A955424A}"/>
            </a:ext>
          </a:extLst>
        </xdr:cNvPr>
        <xdr:cNvGrpSpPr/>
      </xdr:nvGrpSpPr>
      <xdr:grpSpPr>
        <a:xfrm>
          <a:off x="5829300" y="11649076"/>
          <a:ext cx="1371600" cy="633412"/>
          <a:chOff x="5829300" y="11649076"/>
          <a:chExt cx="1371600" cy="633412"/>
        </a:xfrm>
      </xdr:grpSpPr>
      <xdr:sp macro="" textlink="">
        <xdr:nvSpPr>
          <xdr:cNvPr id="273" name="Freeform: Shape 272">
            <a:extLst>
              <a:ext uri="{FF2B5EF4-FFF2-40B4-BE49-F238E27FC236}">
                <a16:creationId xmlns:a16="http://schemas.microsoft.com/office/drawing/2014/main" id="{8729358E-7283-44C5-BDE2-FDF3E8530B02}"/>
              </a:ext>
            </a:extLst>
          </xdr:cNvPr>
          <xdr:cNvSpPr/>
        </xdr:nvSpPr>
        <xdr:spPr>
          <a:xfrm>
            <a:off x="5829300" y="11715750"/>
            <a:ext cx="976313" cy="566738"/>
          </a:xfrm>
          <a:custGeom>
            <a:avLst/>
            <a:gdLst>
              <a:gd name="connsiteX0" fmla="*/ 971550 w 976313"/>
              <a:gd name="connsiteY0" fmla="*/ 0 h 566738"/>
              <a:gd name="connsiteX1" fmla="*/ 0 w 976313"/>
              <a:gd name="connsiteY1" fmla="*/ 0 h 566738"/>
              <a:gd name="connsiteX2" fmla="*/ 0 w 976313"/>
              <a:gd name="connsiteY2" fmla="*/ 147638 h 566738"/>
              <a:gd name="connsiteX3" fmla="*/ 333375 w 976313"/>
              <a:gd name="connsiteY3" fmla="*/ 147638 h 566738"/>
              <a:gd name="connsiteX4" fmla="*/ 333375 w 976313"/>
              <a:gd name="connsiteY4" fmla="*/ 566738 h 566738"/>
              <a:gd name="connsiteX5" fmla="*/ 652463 w 976313"/>
              <a:gd name="connsiteY5" fmla="*/ 566738 h 566738"/>
              <a:gd name="connsiteX6" fmla="*/ 652463 w 976313"/>
              <a:gd name="connsiteY6" fmla="*/ 138113 h 566738"/>
              <a:gd name="connsiteX7" fmla="*/ 976313 w 976313"/>
              <a:gd name="connsiteY7" fmla="*/ 138113 h 566738"/>
              <a:gd name="connsiteX8" fmla="*/ 971550 w 976313"/>
              <a:gd name="connsiteY8" fmla="*/ 0 h 56673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976313" h="566738">
                <a:moveTo>
                  <a:pt x="971550" y="0"/>
                </a:moveTo>
                <a:lnTo>
                  <a:pt x="0" y="0"/>
                </a:lnTo>
                <a:lnTo>
                  <a:pt x="0" y="147638"/>
                </a:lnTo>
                <a:lnTo>
                  <a:pt x="333375" y="147638"/>
                </a:lnTo>
                <a:lnTo>
                  <a:pt x="333375" y="566738"/>
                </a:lnTo>
                <a:lnTo>
                  <a:pt x="652463" y="566738"/>
                </a:lnTo>
                <a:lnTo>
                  <a:pt x="652463" y="138113"/>
                </a:lnTo>
                <a:lnTo>
                  <a:pt x="976313" y="138113"/>
                </a:lnTo>
                <a:lnTo>
                  <a:pt x="971550" y="0"/>
                </a:lnTo>
                <a:close/>
              </a:path>
            </a:pathLst>
          </a:custGeom>
          <a:blipFill>
            <a:blip xmlns:r="http://schemas.openxmlformats.org/officeDocument/2006/relationships" r:embed="rId1"/>
            <a:tile tx="0" ty="0" sx="100000" sy="100000" flip="none" algn="tl"/>
          </a:blip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74" name="Oval 273">
            <a:extLst>
              <a:ext uri="{FF2B5EF4-FFF2-40B4-BE49-F238E27FC236}">
                <a16:creationId xmlns:a16="http://schemas.microsoft.com/office/drawing/2014/main" id="{0C894844-32B0-40E8-B123-B2BBD7B0DD3D}"/>
              </a:ext>
            </a:extLst>
          </xdr:cNvPr>
          <xdr:cNvSpPr/>
        </xdr:nvSpPr>
        <xdr:spPr>
          <a:xfrm flipH="1" flipV="1">
            <a:off x="6235068" y="12169141"/>
            <a:ext cx="45720" cy="45720"/>
          </a:xfrm>
          <a:prstGeom prst="ellipse">
            <a:avLst/>
          </a:prstGeom>
          <a:solidFill>
            <a:schemeClr val="tx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75" name="Oval 274">
            <a:extLst>
              <a:ext uri="{FF2B5EF4-FFF2-40B4-BE49-F238E27FC236}">
                <a16:creationId xmlns:a16="http://schemas.microsoft.com/office/drawing/2014/main" id="{05291020-DEB5-4D30-A3BB-DD403FFC9154}"/>
              </a:ext>
            </a:extLst>
          </xdr:cNvPr>
          <xdr:cNvSpPr/>
        </xdr:nvSpPr>
        <xdr:spPr>
          <a:xfrm flipH="1" flipV="1">
            <a:off x="6363654" y="12169141"/>
            <a:ext cx="45720" cy="45720"/>
          </a:xfrm>
          <a:prstGeom prst="ellipse">
            <a:avLst/>
          </a:prstGeom>
          <a:solidFill>
            <a:schemeClr val="tx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76" name="Straight Connector 275">
            <a:extLst>
              <a:ext uri="{FF2B5EF4-FFF2-40B4-BE49-F238E27FC236}">
                <a16:creationId xmlns:a16="http://schemas.microsoft.com/office/drawing/2014/main" id="{4B8F6E81-D622-41A3-B128-63E8831EAE78}"/>
              </a:ext>
            </a:extLst>
          </xdr:cNvPr>
          <xdr:cNvCxnSpPr/>
        </xdr:nvCxnSpPr>
        <xdr:spPr>
          <a:xfrm>
            <a:off x="6434138" y="12192000"/>
            <a:ext cx="76676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7" name="Straight Connector 276">
            <a:extLst>
              <a:ext uri="{FF2B5EF4-FFF2-40B4-BE49-F238E27FC236}">
                <a16:creationId xmlns:a16="http://schemas.microsoft.com/office/drawing/2014/main" id="{8B0772EC-E14A-40FD-B312-16219136B24C}"/>
              </a:ext>
            </a:extLst>
          </xdr:cNvPr>
          <xdr:cNvCxnSpPr/>
        </xdr:nvCxnSpPr>
        <xdr:spPr>
          <a:xfrm flipV="1">
            <a:off x="7124707" y="11649076"/>
            <a:ext cx="0" cy="61912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8" name="Straight Connector 277">
            <a:extLst>
              <a:ext uri="{FF2B5EF4-FFF2-40B4-BE49-F238E27FC236}">
                <a16:creationId xmlns:a16="http://schemas.microsoft.com/office/drawing/2014/main" id="{85CD17E2-2C2C-4B55-BC63-7A184CEAB325}"/>
              </a:ext>
            </a:extLst>
          </xdr:cNvPr>
          <xdr:cNvCxnSpPr/>
        </xdr:nvCxnSpPr>
        <xdr:spPr>
          <a:xfrm>
            <a:off x="6834186" y="11715750"/>
            <a:ext cx="36671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9" name="Straight Connector 278">
            <a:extLst>
              <a:ext uri="{FF2B5EF4-FFF2-40B4-BE49-F238E27FC236}">
                <a16:creationId xmlns:a16="http://schemas.microsoft.com/office/drawing/2014/main" id="{7E31D472-2C8F-4FCF-BD06-4FAD48E4EDF9}"/>
              </a:ext>
            </a:extLst>
          </xdr:cNvPr>
          <xdr:cNvCxnSpPr/>
        </xdr:nvCxnSpPr>
        <xdr:spPr>
          <a:xfrm flipH="1">
            <a:off x="7086607" y="11682414"/>
            <a:ext cx="71438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0" name="Straight Connector 279">
            <a:extLst>
              <a:ext uri="{FF2B5EF4-FFF2-40B4-BE49-F238E27FC236}">
                <a16:creationId xmlns:a16="http://schemas.microsoft.com/office/drawing/2014/main" id="{0D22F050-FE70-47A2-A369-53B25F15A9BD}"/>
              </a:ext>
            </a:extLst>
          </xdr:cNvPr>
          <xdr:cNvCxnSpPr/>
        </xdr:nvCxnSpPr>
        <xdr:spPr>
          <a:xfrm flipH="1">
            <a:off x="7091370" y="12153899"/>
            <a:ext cx="66675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36</xdr:col>
      <xdr:colOff>0</xdr:colOff>
      <xdr:row>161</xdr:row>
      <xdr:rowOff>76201</xdr:rowOff>
    </xdr:from>
    <xdr:to>
      <xdr:col>44</xdr:col>
      <xdr:colOff>76200</xdr:colOff>
      <xdr:row>165</xdr:row>
      <xdr:rowOff>138113</xdr:rowOff>
    </xdr:to>
    <xdr:grpSp>
      <xdr:nvGrpSpPr>
        <xdr:cNvPr id="28" name="Group 27">
          <a:extLst>
            <a:ext uri="{FF2B5EF4-FFF2-40B4-BE49-F238E27FC236}">
              <a16:creationId xmlns:a16="http://schemas.microsoft.com/office/drawing/2014/main" id="{07FAC254-091D-46FD-9958-4E7948D1D38A}"/>
            </a:ext>
          </a:extLst>
        </xdr:cNvPr>
        <xdr:cNvGrpSpPr/>
      </xdr:nvGrpSpPr>
      <xdr:grpSpPr>
        <a:xfrm>
          <a:off x="5829300" y="23526751"/>
          <a:ext cx="1371600" cy="633412"/>
          <a:chOff x="5829300" y="23241001"/>
          <a:chExt cx="1371600" cy="633412"/>
        </a:xfrm>
      </xdr:grpSpPr>
      <xdr:sp macro="" textlink="">
        <xdr:nvSpPr>
          <xdr:cNvPr id="281" name="Freeform: Shape 280">
            <a:extLst>
              <a:ext uri="{FF2B5EF4-FFF2-40B4-BE49-F238E27FC236}">
                <a16:creationId xmlns:a16="http://schemas.microsoft.com/office/drawing/2014/main" id="{E16EDE6D-7C43-4C24-9940-7E6F32D792DC}"/>
              </a:ext>
            </a:extLst>
          </xdr:cNvPr>
          <xdr:cNvSpPr/>
        </xdr:nvSpPr>
        <xdr:spPr>
          <a:xfrm>
            <a:off x="5829300" y="23307675"/>
            <a:ext cx="976313" cy="566738"/>
          </a:xfrm>
          <a:custGeom>
            <a:avLst/>
            <a:gdLst>
              <a:gd name="connsiteX0" fmla="*/ 971550 w 976313"/>
              <a:gd name="connsiteY0" fmla="*/ 0 h 566738"/>
              <a:gd name="connsiteX1" fmla="*/ 0 w 976313"/>
              <a:gd name="connsiteY1" fmla="*/ 0 h 566738"/>
              <a:gd name="connsiteX2" fmla="*/ 0 w 976313"/>
              <a:gd name="connsiteY2" fmla="*/ 147638 h 566738"/>
              <a:gd name="connsiteX3" fmla="*/ 333375 w 976313"/>
              <a:gd name="connsiteY3" fmla="*/ 147638 h 566738"/>
              <a:gd name="connsiteX4" fmla="*/ 333375 w 976313"/>
              <a:gd name="connsiteY4" fmla="*/ 566738 h 566738"/>
              <a:gd name="connsiteX5" fmla="*/ 652463 w 976313"/>
              <a:gd name="connsiteY5" fmla="*/ 566738 h 566738"/>
              <a:gd name="connsiteX6" fmla="*/ 652463 w 976313"/>
              <a:gd name="connsiteY6" fmla="*/ 138113 h 566738"/>
              <a:gd name="connsiteX7" fmla="*/ 976313 w 976313"/>
              <a:gd name="connsiteY7" fmla="*/ 138113 h 566738"/>
              <a:gd name="connsiteX8" fmla="*/ 971550 w 976313"/>
              <a:gd name="connsiteY8" fmla="*/ 0 h 56673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976313" h="566738">
                <a:moveTo>
                  <a:pt x="971550" y="0"/>
                </a:moveTo>
                <a:lnTo>
                  <a:pt x="0" y="0"/>
                </a:lnTo>
                <a:lnTo>
                  <a:pt x="0" y="147638"/>
                </a:lnTo>
                <a:lnTo>
                  <a:pt x="333375" y="147638"/>
                </a:lnTo>
                <a:lnTo>
                  <a:pt x="333375" y="566738"/>
                </a:lnTo>
                <a:lnTo>
                  <a:pt x="652463" y="566738"/>
                </a:lnTo>
                <a:lnTo>
                  <a:pt x="652463" y="138113"/>
                </a:lnTo>
                <a:lnTo>
                  <a:pt x="976313" y="138113"/>
                </a:lnTo>
                <a:lnTo>
                  <a:pt x="971550" y="0"/>
                </a:lnTo>
                <a:close/>
              </a:path>
            </a:pathLst>
          </a:custGeom>
          <a:blipFill>
            <a:blip xmlns:r="http://schemas.openxmlformats.org/officeDocument/2006/relationships" r:embed="rId1"/>
            <a:tile tx="0" ty="0" sx="100000" sy="100000" flip="none" algn="tl"/>
          </a:blip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82" name="Oval 281">
            <a:extLst>
              <a:ext uri="{FF2B5EF4-FFF2-40B4-BE49-F238E27FC236}">
                <a16:creationId xmlns:a16="http://schemas.microsoft.com/office/drawing/2014/main" id="{B69B9565-D057-4494-8CA7-E8FE91AEE868}"/>
              </a:ext>
            </a:extLst>
          </xdr:cNvPr>
          <xdr:cNvSpPr/>
        </xdr:nvSpPr>
        <xdr:spPr>
          <a:xfrm flipH="1" flipV="1">
            <a:off x="6235068" y="23761066"/>
            <a:ext cx="45720" cy="45720"/>
          </a:xfrm>
          <a:prstGeom prst="ellipse">
            <a:avLst/>
          </a:prstGeom>
          <a:solidFill>
            <a:schemeClr val="tx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83" name="Oval 282">
            <a:extLst>
              <a:ext uri="{FF2B5EF4-FFF2-40B4-BE49-F238E27FC236}">
                <a16:creationId xmlns:a16="http://schemas.microsoft.com/office/drawing/2014/main" id="{7A248B0D-C676-472A-9491-AABC4543C504}"/>
              </a:ext>
            </a:extLst>
          </xdr:cNvPr>
          <xdr:cNvSpPr/>
        </xdr:nvSpPr>
        <xdr:spPr>
          <a:xfrm flipH="1" flipV="1">
            <a:off x="6363654" y="23761066"/>
            <a:ext cx="45720" cy="45720"/>
          </a:xfrm>
          <a:prstGeom prst="ellipse">
            <a:avLst/>
          </a:prstGeom>
          <a:solidFill>
            <a:schemeClr val="tx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84" name="Straight Connector 283">
            <a:extLst>
              <a:ext uri="{FF2B5EF4-FFF2-40B4-BE49-F238E27FC236}">
                <a16:creationId xmlns:a16="http://schemas.microsoft.com/office/drawing/2014/main" id="{AE1B7DFF-A44A-4257-BA91-A57185D81C16}"/>
              </a:ext>
            </a:extLst>
          </xdr:cNvPr>
          <xdr:cNvCxnSpPr/>
        </xdr:nvCxnSpPr>
        <xdr:spPr>
          <a:xfrm>
            <a:off x="6434138" y="23783925"/>
            <a:ext cx="76676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5" name="Straight Connector 284">
            <a:extLst>
              <a:ext uri="{FF2B5EF4-FFF2-40B4-BE49-F238E27FC236}">
                <a16:creationId xmlns:a16="http://schemas.microsoft.com/office/drawing/2014/main" id="{FCA78296-E945-453A-B5FA-ABBD9A80E613}"/>
              </a:ext>
            </a:extLst>
          </xdr:cNvPr>
          <xdr:cNvCxnSpPr/>
        </xdr:nvCxnSpPr>
        <xdr:spPr>
          <a:xfrm flipV="1">
            <a:off x="7124707" y="23241001"/>
            <a:ext cx="0" cy="61912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7" name="Straight Connector 286">
            <a:extLst>
              <a:ext uri="{FF2B5EF4-FFF2-40B4-BE49-F238E27FC236}">
                <a16:creationId xmlns:a16="http://schemas.microsoft.com/office/drawing/2014/main" id="{371A01E2-3A26-485A-B296-7D2FF6ABF8CE}"/>
              </a:ext>
            </a:extLst>
          </xdr:cNvPr>
          <xdr:cNvCxnSpPr/>
        </xdr:nvCxnSpPr>
        <xdr:spPr>
          <a:xfrm>
            <a:off x="6834186" y="23307675"/>
            <a:ext cx="36671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9" name="Straight Connector 288">
            <a:extLst>
              <a:ext uri="{FF2B5EF4-FFF2-40B4-BE49-F238E27FC236}">
                <a16:creationId xmlns:a16="http://schemas.microsoft.com/office/drawing/2014/main" id="{0F98DE73-A306-4FF4-9897-C6240A05D3AF}"/>
              </a:ext>
            </a:extLst>
          </xdr:cNvPr>
          <xdr:cNvCxnSpPr/>
        </xdr:nvCxnSpPr>
        <xdr:spPr>
          <a:xfrm flipH="1">
            <a:off x="7086607" y="23274339"/>
            <a:ext cx="71438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0" name="Straight Connector 289">
            <a:extLst>
              <a:ext uri="{FF2B5EF4-FFF2-40B4-BE49-F238E27FC236}">
                <a16:creationId xmlns:a16="http://schemas.microsoft.com/office/drawing/2014/main" id="{8A039539-5BB8-47C1-B7C9-1E696AAE795F}"/>
              </a:ext>
            </a:extLst>
          </xdr:cNvPr>
          <xdr:cNvCxnSpPr/>
        </xdr:nvCxnSpPr>
        <xdr:spPr>
          <a:xfrm flipH="1">
            <a:off x="7091370" y="23745824"/>
            <a:ext cx="66675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 w="6350">
          <a:solidFill>
            <a:schemeClr val="accent1"/>
          </a:solidFill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E032F-1805-4EED-9DE9-E75A8E46BD24}">
  <dimension ref="A1:BK239"/>
  <sheetViews>
    <sheetView showGridLines="0" tabSelected="1" zoomScaleNormal="100" workbookViewId="0">
      <selection activeCell="AV9" sqref="AV9"/>
    </sheetView>
  </sheetViews>
  <sheetFormatPr defaultRowHeight="11.25" x14ac:dyDescent="0.2"/>
  <cols>
    <col min="1" max="853" width="2.83203125" style="1" customWidth="1"/>
    <col min="854" max="16384" width="9.33203125" style="1"/>
  </cols>
  <sheetData>
    <row r="1" spans="2:54" ht="12" thickBot="1" x14ac:dyDescent="0.25"/>
    <row r="2" spans="2:54" ht="41.25" customHeight="1" x14ac:dyDescent="0.2">
      <c r="B2" s="42" t="s">
        <v>76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4"/>
    </row>
    <row r="3" spans="2:54" x14ac:dyDescent="0.2">
      <c r="B3" s="4"/>
      <c r="C3" s="6"/>
      <c r="D3" s="6"/>
      <c r="E3" s="6"/>
      <c r="F3" s="6"/>
      <c r="H3" s="6"/>
      <c r="I3" s="6"/>
      <c r="J3" s="6"/>
      <c r="K3" s="6"/>
      <c r="L3" s="6"/>
      <c r="M3" s="6"/>
      <c r="N3" s="6"/>
      <c r="O3" s="6"/>
      <c r="P3" s="6"/>
      <c r="Q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7" t="s">
        <v>46</v>
      </c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5"/>
    </row>
    <row r="4" spans="2:54" ht="12.75" x14ac:dyDescent="0.2">
      <c r="B4" s="4"/>
      <c r="C4" s="6"/>
      <c r="D4" s="6"/>
      <c r="E4" s="6"/>
      <c r="F4" s="6"/>
      <c r="G4" s="15" t="s">
        <v>66</v>
      </c>
      <c r="H4" s="6"/>
      <c r="I4" s="6"/>
      <c r="J4" s="6"/>
      <c r="K4" s="6"/>
      <c r="L4" s="6"/>
      <c r="M4" s="6"/>
      <c r="N4" s="6"/>
      <c r="O4" s="6"/>
      <c r="P4" s="6"/>
      <c r="Q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7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5"/>
    </row>
    <row r="5" spans="2:54" x14ac:dyDescent="0.2">
      <c r="B5" s="4"/>
      <c r="C5" s="6"/>
      <c r="D5" s="6"/>
      <c r="E5" s="6"/>
      <c r="F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41">
        <v>17.22</v>
      </c>
      <c r="U5" s="41"/>
      <c r="V5" s="6" t="s">
        <v>1</v>
      </c>
      <c r="W5" s="6"/>
      <c r="X5" s="6"/>
      <c r="Y5" s="6"/>
      <c r="Z5" s="6"/>
      <c r="AA5" s="6"/>
      <c r="AB5" s="6"/>
      <c r="AC5" s="6"/>
      <c r="AD5" s="6"/>
      <c r="AE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5"/>
    </row>
    <row r="6" spans="2:54" x14ac:dyDescent="0.2">
      <c r="B6" s="4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5"/>
    </row>
    <row r="7" spans="2:54" x14ac:dyDescent="0.2">
      <c r="B7" s="4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41">
        <v>8.8800000000000008</v>
      </c>
      <c r="X7" s="41"/>
      <c r="Y7" s="6" t="s">
        <v>1</v>
      </c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5"/>
    </row>
    <row r="8" spans="2:54" x14ac:dyDescent="0.2">
      <c r="B8" s="4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BB8" s="5"/>
    </row>
    <row r="9" spans="2:54" x14ac:dyDescent="0.2">
      <c r="B9" s="4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BB9" s="5"/>
    </row>
    <row r="10" spans="2:54" x14ac:dyDescent="0.2">
      <c r="B10" s="4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L10" s="8" t="s">
        <v>35</v>
      </c>
      <c r="AM10" s="6"/>
      <c r="AN10" s="6"/>
      <c r="AO10" s="6"/>
      <c r="AP10" s="6"/>
      <c r="AQ10" s="6"/>
      <c r="AR10" s="6"/>
      <c r="BB10" s="5"/>
    </row>
    <row r="11" spans="2:54" x14ac:dyDescent="0.2">
      <c r="B11" s="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BB11" s="5"/>
    </row>
    <row r="12" spans="2:54" x14ac:dyDescent="0.2">
      <c r="B12" s="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BB12" s="5"/>
    </row>
    <row r="13" spans="2:54" x14ac:dyDescent="0.2">
      <c r="B13" s="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 t="s">
        <v>23</v>
      </c>
      <c r="AP13" s="41">
        <v>0.56000000000000005</v>
      </c>
      <c r="AQ13" s="41"/>
      <c r="AR13" s="6" t="s">
        <v>0</v>
      </c>
      <c r="BB13" s="5"/>
    </row>
    <row r="14" spans="2:54" x14ac:dyDescent="0.2">
      <c r="B14" s="4"/>
      <c r="C14" s="6"/>
      <c r="D14" s="41">
        <v>27.69</v>
      </c>
      <c r="E14" s="41"/>
      <c r="F14" s="6" t="s">
        <v>2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41">
        <v>14.41</v>
      </c>
      <c r="AD14" s="41"/>
      <c r="AE14" s="6" t="s">
        <v>2</v>
      </c>
      <c r="AF14" s="6"/>
      <c r="AG14" s="6"/>
      <c r="AH14" s="6"/>
      <c r="AI14" s="6"/>
      <c r="AJ14" s="6"/>
      <c r="AK14" s="6"/>
      <c r="AL14" s="6"/>
      <c r="AM14" s="6"/>
      <c r="AN14" s="6"/>
      <c r="AS14" s="6"/>
      <c r="AT14" s="6"/>
      <c r="AU14" s="6"/>
      <c r="AV14" s="6"/>
      <c r="AW14" s="6"/>
      <c r="AX14" s="6"/>
      <c r="AY14" s="6"/>
      <c r="AZ14" s="6"/>
      <c r="BA14" s="6"/>
      <c r="BB14" s="5"/>
    </row>
    <row r="15" spans="2:54" x14ac:dyDescent="0.2">
      <c r="B15" s="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X15" s="6"/>
      <c r="AY15" s="6"/>
      <c r="AZ15" s="6"/>
      <c r="BA15" s="6"/>
      <c r="BB15" s="5"/>
    </row>
    <row r="16" spans="2:54" x14ac:dyDescent="0.2">
      <c r="B16" s="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X16" s="6"/>
      <c r="AY16" s="6"/>
      <c r="AZ16" s="6"/>
      <c r="BA16" s="6"/>
      <c r="BB16" s="5"/>
    </row>
    <row r="17" spans="2:54" x14ac:dyDescent="0.2">
      <c r="B17" s="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X17" s="6"/>
      <c r="AY17" s="6"/>
      <c r="AZ17" s="6"/>
      <c r="BA17" s="6"/>
      <c r="BB17" s="5"/>
    </row>
    <row r="18" spans="2:54" x14ac:dyDescent="0.2">
      <c r="B18" s="4"/>
      <c r="C18" s="6"/>
      <c r="D18" s="6"/>
      <c r="E18" s="6"/>
      <c r="F18" s="6"/>
      <c r="G18" s="6"/>
      <c r="H18" s="6" t="s">
        <v>3</v>
      </c>
      <c r="I18" s="35">
        <f>+D28</f>
        <v>38.300000000000004</v>
      </c>
      <c r="J18" s="35"/>
      <c r="K18" s="6" t="s">
        <v>4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 t="s">
        <v>5</v>
      </c>
      <c r="Y18" s="35">
        <f>+D32</f>
        <v>31.660000000000004</v>
      </c>
      <c r="Z18" s="35"/>
      <c r="AA18" s="6" t="s">
        <v>4</v>
      </c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X18" s="6"/>
      <c r="AY18" s="6"/>
      <c r="AZ18" s="6"/>
      <c r="BA18" s="6"/>
      <c r="BB18" s="5"/>
    </row>
    <row r="19" spans="2:54" x14ac:dyDescent="0.2">
      <c r="B19" s="4"/>
      <c r="C19" s="6"/>
      <c r="D19" s="6"/>
      <c r="E19" s="6"/>
      <c r="F19" s="6"/>
      <c r="G19" s="6"/>
      <c r="H19" s="6"/>
      <c r="I19" s="6"/>
      <c r="J19" s="6"/>
      <c r="K19" s="6"/>
      <c r="L19" s="6"/>
      <c r="M19" s="35">
        <f>Q21/2</f>
        <v>2</v>
      </c>
      <c r="N19" s="35"/>
      <c r="O19" s="6" t="s">
        <v>0</v>
      </c>
      <c r="P19" s="6"/>
      <c r="Q19" s="6"/>
      <c r="R19" s="6"/>
      <c r="S19" s="6"/>
      <c r="T19" s="6"/>
      <c r="U19" s="35">
        <f>+Q21/2</f>
        <v>2</v>
      </c>
      <c r="V19" s="35"/>
      <c r="W19" s="6" t="s">
        <v>0</v>
      </c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X19" s="6"/>
      <c r="AY19" s="6"/>
      <c r="AZ19" s="6"/>
      <c r="BA19" s="6"/>
      <c r="BB19" s="5"/>
    </row>
    <row r="20" spans="2:54" x14ac:dyDescent="0.2">
      <c r="B20" s="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X20" s="6"/>
      <c r="AY20" s="6"/>
      <c r="AZ20" s="6"/>
      <c r="BA20" s="6"/>
      <c r="BB20" s="5"/>
    </row>
    <row r="21" spans="2:54" x14ac:dyDescent="0.2">
      <c r="B21" s="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41">
        <v>4</v>
      </c>
      <c r="R21" s="41"/>
      <c r="S21" s="6" t="s">
        <v>0</v>
      </c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X21" s="6"/>
      <c r="AY21" s="6"/>
      <c r="AZ21" s="6"/>
      <c r="BA21" s="6"/>
      <c r="BB21" s="5"/>
    </row>
    <row r="22" spans="2:54" x14ac:dyDescent="0.2">
      <c r="B22" s="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5"/>
    </row>
    <row r="23" spans="2:54" x14ac:dyDescent="0.2">
      <c r="B23" s="4"/>
      <c r="C23" s="6"/>
      <c r="D23" s="6"/>
      <c r="E23" s="6"/>
      <c r="F23" s="6"/>
      <c r="G23" s="6"/>
      <c r="H23" s="6" t="s">
        <v>43</v>
      </c>
      <c r="I23" s="41">
        <v>0.5</v>
      </c>
      <c r="J23" s="41"/>
      <c r="K23" s="6" t="s">
        <v>22</v>
      </c>
      <c r="L23" s="6" t="s">
        <v>21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 t="s">
        <v>44</v>
      </c>
      <c r="Y23" s="41">
        <v>0.6</v>
      </c>
      <c r="Z23" s="41"/>
      <c r="AA23" s="6" t="s">
        <v>22</v>
      </c>
      <c r="AB23" s="6" t="s">
        <v>21</v>
      </c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5"/>
    </row>
    <row r="24" spans="2:54" x14ac:dyDescent="0.2">
      <c r="B24" s="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5"/>
    </row>
    <row r="25" spans="2:54" x14ac:dyDescent="0.2">
      <c r="B25" s="4"/>
      <c r="C25" s="9" t="s">
        <v>29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X25" s="6"/>
      <c r="AY25" s="6"/>
      <c r="AZ25" s="6"/>
      <c r="BA25" s="6"/>
      <c r="BB25" s="5"/>
    </row>
    <row r="26" spans="2:54" x14ac:dyDescent="0.2">
      <c r="B26" s="4"/>
      <c r="C26" s="6" t="s">
        <v>19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X26" s="6"/>
      <c r="AY26" s="6"/>
      <c r="AZ26" s="6"/>
      <c r="BA26" s="6"/>
      <c r="BB26" s="5"/>
    </row>
    <row r="27" spans="2:54" x14ac:dyDescent="0.2">
      <c r="B27" s="4"/>
      <c r="C27" s="6" t="s">
        <v>6</v>
      </c>
      <c r="D27" s="35">
        <f>+Q21</f>
        <v>4</v>
      </c>
      <c r="E27" s="35"/>
      <c r="F27" s="10" t="s">
        <v>7</v>
      </c>
      <c r="G27" s="35">
        <f>+AC14</f>
        <v>14.41</v>
      </c>
      <c r="H27" s="35"/>
      <c r="I27" s="10" t="s">
        <v>8</v>
      </c>
      <c r="J27" s="35">
        <f>+D14</f>
        <v>27.69</v>
      </c>
      <c r="K27" s="35"/>
      <c r="L27" s="10" t="s">
        <v>8</v>
      </c>
      <c r="M27" s="35">
        <f>+T5</f>
        <v>17.22</v>
      </c>
      <c r="N27" s="35"/>
      <c r="O27" s="10" t="s">
        <v>9</v>
      </c>
      <c r="P27" s="35">
        <f>+Q21</f>
        <v>4</v>
      </c>
      <c r="Q27" s="35"/>
      <c r="R27" s="6" t="s">
        <v>10</v>
      </c>
      <c r="S27" s="6">
        <v>2</v>
      </c>
      <c r="T27" s="10" t="s">
        <v>9</v>
      </c>
      <c r="U27" s="35">
        <f>+U19</f>
        <v>2</v>
      </c>
      <c r="V27" s="35"/>
      <c r="W27" s="10" t="s">
        <v>8</v>
      </c>
      <c r="X27" s="35">
        <f>+W7</f>
        <v>8.8800000000000008</v>
      </c>
      <c r="Y27" s="35"/>
      <c r="Z27" s="10" t="s">
        <v>9</v>
      </c>
      <c r="AA27" s="35">
        <f>+Q21</f>
        <v>4</v>
      </c>
      <c r="AB27" s="35"/>
      <c r="AC27" s="10" t="s">
        <v>9</v>
      </c>
      <c r="AD27" s="35">
        <f>+U19</f>
        <v>2</v>
      </c>
      <c r="AE27" s="35"/>
      <c r="AF27" s="10" t="s">
        <v>11</v>
      </c>
      <c r="AG27" s="6">
        <v>0</v>
      </c>
      <c r="AH27" s="6"/>
      <c r="AI27" s="6"/>
      <c r="AJ27" s="6"/>
      <c r="AK27" s="6"/>
      <c r="AL27" s="6"/>
      <c r="AM27" s="6"/>
      <c r="AN27" s="6"/>
      <c r="AO27" s="6"/>
      <c r="AP27" s="6"/>
      <c r="AQ27" s="6"/>
      <c r="AX27" s="6"/>
      <c r="AY27" s="6"/>
      <c r="AZ27" s="6"/>
      <c r="BA27" s="6"/>
      <c r="BB27" s="5"/>
    </row>
    <row r="28" spans="2:54" x14ac:dyDescent="0.2">
      <c r="B28" s="4"/>
      <c r="C28" s="14" t="s">
        <v>3</v>
      </c>
      <c r="D28" s="36">
        <f>(X27*AA27*AD27+M27*P27/S27*U27+J27-G27)/D27</f>
        <v>38.300000000000004</v>
      </c>
      <c r="E28" s="36"/>
      <c r="F28" s="36"/>
      <c r="G28" s="11" t="s">
        <v>4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X28" s="6"/>
      <c r="AY28" s="6"/>
      <c r="AZ28" s="6"/>
      <c r="BA28" s="6"/>
      <c r="BB28" s="5"/>
    </row>
    <row r="29" spans="2:54" x14ac:dyDescent="0.2">
      <c r="B29" s="4"/>
      <c r="C29" s="9" t="s">
        <v>30</v>
      </c>
      <c r="D29" s="12"/>
      <c r="E29" s="12"/>
      <c r="F29" s="12"/>
      <c r="G29" s="11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X29" s="6"/>
      <c r="AY29" s="6"/>
      <c r="AZ29" s="6"/>
      <c r="BA29" s="6"/>
      <c r="BB29" s="5"/>
    </row>
    <row r="30" spans="2:54" x14ac:dyDescent="0.2">
      <c r="B30" s="4"/>
      <c r="C30" s="6" t="s">
        <v>20</v>
      </c>
      <c r="D30" s="10"/>
      <c r="E30" s="10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X30" s="6"/>
      <c r="AY30" s="6"/>
      <c r="AZ30" s="6"/>
      <c r="BA30" s="6"/>
      <c r="BB30" s="5"/>
    </row>
    <row r="31" spans="2:54" x14ac:dyDescent="0.2">
      <c r="B31" s="4"/>
      <c r="C31" s="6" t="s">
        <v>56</v>
      </c>
      <c r="D31" s="6"/>
      <c r="E31" s="35">
        <f>+D28</f>
        <v>38.300000000000004</v>
      </c>
      <c r="F31" s="35"/>
      <c r="G31" s="2" t="s">
        <v>8</v>
      </c>
      <c r="H31" s="35">
        <f>+T5</f>
        <v>17.22</v>
      </c>
      <c r="I31" s="35"/>
      <c r="J31" s="10" t="s">
        <v>9</v>
      </c>
      <c r="K31" s="35">
        <f>+Q21</f>
        <v>4</v>
      </c>
      <c r="L31" s="35"/>
      <c r="M31" s="6" t="s">
        <v>10</v>
      </c>
      <c r="N31" s="6">
        <v>2</v>
      </c>
      <c r="O31" s="10" t="s">
        <v>8</v>
      </c>
      <c r="P31" s="35">
        <f>+W7</f>
        <v>8.8800000000000008</v>
      </c>
      <c r="Q31" s="35"/>
      <c r="R31" s="10" t="s">
        <v>9</v>
      </c>
      <c r="S31" s="35">
        <f>+Q21</f>
        <v>4</v>
      </c>
      <c r="T31" s="35"/>
      <c r="U31" s="10" t="s">
        <v>11</v>
      </c>
      <c r="V31" s="6">
        <v>0</v>
      </c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X31" s="6"/>
      <c r="AY31" s="6"/>
      <c r="AZ31" s="6"/>
      <c r="BA31" s="6"/>
      <c r="BB31" s="5"/>
    </row>
    <row r="32" spans="2:54" x14ac:dyDescent="0.2">
      <c r="B32" s="4"/>
      <c r="C32" s="14" t="s">
        <v>5</v>
      </c>
      <c r="D32" s="36">
        <f>P31*S31+H31*K31/N31-E31</f>
        <v>31.660000000000004</v>
      </c>
      <c r="E32" s="36"/>
      <c r="F32" s="36"/>
      <c r="G32" s="11" t="s">
        <v>4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X32" s="6"/>
      <c r="AY32" s="6"/>
      <c r="AZ32" s="6"/>
      <c r="BA32" s="6"/>
      <c r="BB32" s="5"/>
    </row>
    <row r="33" spans="2:54" x14ac:dyDescent="0.2">
      <c r="B33" s="4"/>
      <c r="C33" s="9" t="s">
        <v>68</v>
      </c>
      <c r="D33" s="12"/>
      <c r="E33" s="12"/>
      <c r="F33" s="12"/>
      <c r="G33" s="11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X33" s="6"/>
      <c r="AY33" s="6"/>
      <c r="AZ33" s="6"/>
      <c r="BA33" s="6"/>
      <c r="BB33" s="5"/>
    </row>
    <row r="34" spans="2:54" x14ac:dyDescent="0.2">
      <c r="B34" s="4"/>
      <c r="C34" s="6" t="s">
        <v>26</v>
      </c>
      <c r="D34" s="10"/>
      <c r="E34" s="10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X34" s="6"/>
      <c r="AY34" s="6"/>
      <c r="AZ34" s="6"/>
      <c r="BA34" s="6"/>
      <c r="BB34" s="5"/>
    </row>
    <row r="35" spans="2:54" x14ac:dyDescent="0.2">
      <c r="B35" s="4"/>
      <c r="C35" s="6" t="s">
        <v>12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X35" s="6"/>
      <c r="AY35" s="6"/>
      <c r="AZ35" s="6"/>
      <c r="BA35" s="6"/>
      <c r="BB35" s="5"/>
    </row>
    <row r="36" spans="2:54" x14ac:dyDescent="0.2">
      <c r="B36" s="4"/>
      <c r="C36" s="35">
        <f>-Y18</f>
        <v>-31.660000000000004</v>
      </c>
      <c r="D36" s="35"/>
      <c r="E36" s="10" t="s">
        <v>7</v>
      </c>
      <c r="F36" s="35">
        <f>+W7</f>
        <v>8.8800000000000008</v>
      </c>
      <c r="G36" s="35"/>
      <c r="H36" s="6" t="s">
        <v>13</v>
      </c>
      <c r="I36" s="10"/>
      <c r="J36" s="35">
        <v>0.5</v>
      </c>
      <c r="K36" s="35"/>
      <c r="L36" s="10" t="s">
        <v>9</v>
      </c>
      <c r="M36" s="35">
        <f>+T5</f>
        <v>17.22</v>
      </c>
      <c r="N36" s="35"/>
      <c r="O36" s="6" t="s">
        <v>14</v>
      </c>
      <c r="P36" s="6"/>
      <c r="Q36" s="35">
        <f>+U19</f>
        <v>2</v>
      </c>
      <c r="R36" s="35"/>
      <c r="S36" s="10" t="s">
        <v>11</v>
      </c>
      <c r="T36" s="6">
        <v>0</v>
      </c>
      <c r="U36" s="6"/>
      <c r="V36" s="6"/>
      <c r="W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X36" s="6"/>
      <c r="AY36" s="6"/>
      <c r="AZ36" s="6"/>
      <c r="BA36" s="6"/>
      <c r="BB36" s="5"/>
    </row>
    <row r="37" spans="2:54" x14ac:dyDescent="0.2">
      <c r="B37" s="4"/>
      <c r="C37" s="35">
        <f>+J36*M36/Q36</f>
        <v>4.3049999999999997</v>
      </c>
      <c r="D37" s="35"/>
      <c r="E37" s="6" t="s">
        <v>16</v>
      </c>
      <c r="F37" s="6"/>
      <c r="G37" s="35">
        <f>+F36</f>
        <v>8.8800000000000008</v>
      </c>
      <c r="H37" s="35"/>
      <c r="I37" s="13" t="s">
        <v>13</v>
      </c>
      <c r="K37" s="35">
        <f>+C36</f>
        <v>-31.660000000000004</v>
      </c>
      <c r="L37" s="35"/>
      <c r="M37" s="10" t="s">
        <v>11</v>
      </c>
      <c r="N37" s="6">
        <v>0</v>
      </c>
      <c r="O37" s="6"/>
      <c r="P37" s="6"/>
      <c r="Q37" s="6"/>
      <c r="R37" s="6"/>
      <c r="S37" s="6"/>
      <c r="T37" s="6" t="s">
        <v>15</v>
      </c>
      <c r="U37" s="35">
        <f>(-G37+SQRT(G37^2-4*C37*K37))/(2*C37)</f>
        <v>1.8700098275702532</v>
      </c>
      <c r="V37" s="35"/>
      <c r="W37" s="6" t="s">
        <v>0</v>
      </c>
      <c r="X37" s="6"/>
      <c r="Y37" s="6"/>
      <c r="Z37" s="6"/>
      <c r="AA37" s="6" t="s">
        <v>15</v>
      </c>
      <c r="AB37" s="35">
        <f>(-G37-SQRT(G37^2-4*C37*K37))/(2*C37)</f>
        <v>-3.9327275976050964</v>
      </c>
      <c r="AC37" s="35"/>
      <c r="AD37" s="6" t="s">
        <v>0</v>
      </c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X37" s="6"/>
      <c r="AY37" s="6"/>
      <c r="AZ37" s="6"/>
      <c r="BA37" s="6"/>
      <c r="BB37" s="5"/>
    </row>
    <row r="38" spans="2:54" x14ac:dyDescent="0.2">
      <c r="B38" s="4"/>
      <c r="C38" s="6" t="s">
        <v>15</v>
      </c>
      <c r="D38" s="35">
        <f>IF(U37&gt;0,U37,IF(AB37&gt;0,AB37,"hatalı"))</f>
        <v>1.8700098275702532</v>
      </c>
      <c r="E38" s="35"/>
      <c r="F38" s="6" t="s">
        <v>0</v>
      </c>
      <c r="G38" s="6"/>
      <c r="H38" s="6" t="s">
        <v>74</v>
      </c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X38" s="6"/>
      <c r="AY38" s="6"/>
      <c r="AZ38" s="6"/>
      <c r="BA38" s="6"/>
      <c r="BB38" s="5"/>
    </row>
    <row r="39" spans="2:54" x14ac:dyDescent="0.2">
      <c r="B39" s="4"/>
      <c r="C39" s="6" t="s">
        <v>18</v>
      </c>
      <c r="D39" s="6"/>
      <c r="E39" s="35">
        <f>+Y18</f>
        <v>31.660000000000004</v>
      </c>
      <c r="F39" s="35"/>
      <c r="G39" s="10" t="s">
        <v>9</v>
      </c>
      <c r="H39" s="35">
        <f>+D38</f>
        <v>1.8700098275702532</v>
      </c>
      <c r="I39" s="35"/>
      <c r="J39" s="10" t="s">
        <v>8</v>
      </c>
      <c r="K39" s="35">
        <v>0.5</v>
      </c>
      <c r="L39" s="35"/>
      <c r="M39" s="10" t="s">
        <v>9</v>
      </c>
      <c r="N39" s="35">
        <f>+W7</f>
        <v>8.8800000000000008</v>
      </c>
      <c r="O39" s="35"/>
      <c r="P39" s="10" t="s">
        <v>9</v>
      </c>
      <c r="Q39" s="35">
        <f>+D38</f>
        <v>1.8700098275702532</v>
      </c>
      <c r="R39" s="35"/>
      <c r="S39" s="6" t="s">
        <v>17</v>
      </c>
      <c r="T39" s="35">
        <f>+T5</f>
        <v>17.22</v>
      </c>
      <c r="U39" s="35"/>
      <c r="V39" s="10" t="s">
        <v>9</v>
      </c>
      <c r="W39" s="35">
        <f>+D38</f>
        <v>1.8700098275702532</v>
      </c>
      <c r="X39" s="35"/>
      <c r="Y39" s="6" t="s">
        <v>10</v>
      </c>
      <c r="Z39" s="35">
        <f>+U19</f>
        <v>2</v>
      </c>
      <c r="AA39" s="35"/>
      <c r="AB39" s="10" t="s">
        <v>9</v>
      </c>
      <c r="AC39" s="35">
        <f>+D38</f>
        <v>1.8700098275702532</v>
      </c>
      <c r="AD39" s="35"/>
      <c r="AE39" s="6" t="s">
        <v>10</v>
      </c>
      <c r="AF39" s="6">
        <v>2</v>
      </c>
      <c r="AG39" s="10" t="s">
        <v>9</v>
      </c>
      <c r="AH39" s="35">
        <f>+D38</f>
        <v>1.8700098275702532</v>
      </c>
      <c r="AI39" s="35"/>
      <c r="AJ39" s="6" t="s">
        <v>10</v>
      </c>
      <c r="AK39" s="6">
        <v>3</v>
      </c>
      <c r="AL39" s="10" t="s">
        <v>8</v>
      </c>
      <c r="AM39" s="35">
        <f>+AC14</f>
        <v>14.41</v>
      </c>
      <c r="AN39" s="35"/>
      <c r="AO39" s="6"/>
      <c r="AP39" s="6"/>
      <c r="AQ39" s="6"/>
      <c r="AX39" s="6"/>
      <c r="AY39" s="6"/>
      <c r="AZ39" s="6"/>
      <c r="BA39" s="6"/>
      <c r="BB39" s="5"/>
    </row>
    <row r="40" spans="2:54" x14ac:dyDescent="0.2">
      <c r="B40" s="4"/>
      <c r="C40" s="6" t="s">
        <v>18</v>
      </c>
      <c r="D40" s="6"/>
      <c r="E40" s="35">
        <f>+E39*H39-K39*N39*Q39^2-T39*W39/Z39*AC39/AF39*AH39/AK39-AM39</f>
        <v>19.884207696206342</v>
      </c>
      <c r="F40" s="35"/>
      <c r="G40" s="13" t="s">
        <v>2</v>
      </c>
      <c r="H40" s="10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X40" s="6"/>
      <c r="AY40" s="6"/>
      <c r="AZ40" s="6"/>
      <c r="BA40" s="6"/>
      <c r="BB40" s="5"/>
    </row>
    <row r="41" spans="2:54" x14ac:dyDescent="0.2">
      <c r="B41" s="4"/>
      <c r="C41" s="6" t="s">
        <v>27</v>
      </c>
      <c r="D41" s="6"/>
      <c r="E41" s="10"/>
      <c r="F41" s="10"/>
      <c r="G41" s="13"/>
      <c r="H41" s="10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X41" s="6"/>
      <c r="AY41" s="6"/>
      <c r="AZ41" s="6"/>
      <c r="BA41" s="6"/>
      <c r="BB41" s="5"/>
    </row>
    <row r="42" spans="2:54" x14ac:dyDescent="0.2">
      <c r="B42" s="4"/>
      <c r="C42" s="6" t="s">
        <v>12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X42" s="6"/>
      <c r="AY42" s="6"/>
      <c r="AZ42" s="6"/>
      <c r="BA42" s="6"/>
      <c r="BB42" s="5"/>
    </row>
    <row r="43" spans="2:54" x14ac:dyDescent="0.2">
      <c r="B43" s="4"/>
      <c r="C43" s="35">
        <f>-I18</f>
        <v>-38.300000000000004</v>
      </c>
      <c r="D43" s="35"/>
      <c r="E43" s="10" t="s">
        <v>7</v>
      </c>
      <c r="F43" s="35">
        <f>+W7</f>
        <v>8.8800000000000008</v>
      </c>
      <c r="G43" s="35"/>
      <c r="H43" s="6" t="s">
        <v>13</v>
      </c>
      <c r="I43" s="6"/>
      <c r="J43" s="35">
        <v>0.5</v>
      </c>
      <c r="K43" s="35"/>
      <c r="L43" s="10" t="s">
        <v>9</v>
      </c>
      <c r="M43" s="35">
        <f>+T5</f>
        <v>17.22</v>
      </c>
      <c r="N43" s="35"/>
      <c r="O43" s="6" t="s">
        <v>14</v>
      </c>
      <c r="P43" s="6"/>
      <c r="Q43" s="35">
        <f>+M19</f>
        <v>2</v>
      </c>
      <c r="R43" s="35"/>
      <c r="S43" s="10" t="s">
        <v>11</v>
      </c>
      <c r="T43" s="6">
        <v>0</v>
      </c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X43" s="6"/>
      <c r="AY43" s="6"/>
      <c r="AZ43" s="6"/>
      <c r="BA43" s="6"/>
      <c r="BB43" s="5"/>
    </row>
    <row r="44" spans="2:54" x14ac:dyDescent="0.2">
      <c r="B44" s="4"/>
      <c r="C44" s="35">
        <f>+J43*M43/Q43</f>
        <v>4.3049999999999997</v>
      </c>
      <c r="D44" s="35"/>
      <c r="E44" s="6" t="s">
        <v>16</v>
      </c>
      <c r="F44" s="6"/>
      <c r="G44" s="35">
        <f>+F43</f>
        <v>8.8800000000000008</v>
      </c>
      <c r="H44" s="35"/>
      <c r="I44" s="13" t="s">
        <v>13</v>
      </c>
      <c r="K44" s="35">
        <f>+C43</f>
        <v>-38.300000000000004</v>
      </c>
      <c r="L44" s="35"/>
      <c r="M44" s="10" t="s">
        <v>11</v>
      </c>
      <c r="N44" s="6">
        <v>0</v>
      </c>
      <c r="O44" s="6"/>
      <c r="P44" s="6"/>
      <c r="Q44" s="6"/>
      <c r="R44" s="6"/>
      <c r="S44" s="6"/>
      <c r="T44" s="6" t="s">
        <v>15</v>
      </c>
      <c r="U44" s="35">
        <f>(-G44+SQRT(G44^2-4*C44*K44))/(2*C44)</f>
        <v>2.1246406354460197</v>
      </c>
      <c r="V44" s="35"/>
      <c r="W44" s="6" t="s">
        <v>0</v>
      </c>
      <c r="X44" s="6"/>
      <c r="Y44" s="6"/>
      <c r="Z44" s="6"/>
      <c r="AA44" s="6" t="s">
        <v>15</v>
      </c>
      <c r="AB44" s="35">
        <f>(-G44-SQRT(G44^2-4*C44*K44))/(2*C44)</f>
        <v>-4.1873584054808637</v>
      </c>
      <c r="AC44" s="35"/>
      <c r="AD44" s="6" t="s">
        <v>0</v>
      </c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X44" s="6"/>
      <c r="AY44" s="6"/>
      <c r="AZ44" s="6"/>
      <c r="BA44" s="6"/>
      <c r="BB44" s="5"/>
    </row>
    <row r="45" spans="2:54" x14ac:dyDescent="0.2">
      <c r="B45" s="4"/>
      <c r="C45" s="6" t="s">
        <v>15</v>
      </c>
      <c r="D45" s="35">
        <f>IF(U44&gt;0,U44,IF(AB44&gt;0,AB44,"hatalı"))</f>
        <v>2.1246406354460197</v>
      </c>
      <c r="E45" s="35"/>
      <c r="F45" s="6" t="s">
        <v>0</v>
      </c>
      <c r="G45" s="6"/>
      <c r="H45" s="6" t="s">
        <v>75</v>
      </c>
      <c r="I45" s="10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X45" s="6"/>
      <c r="AY45" s="6"/>
      <c r="AZ45" s="6"/>
      <c r="BA45" s="6"/>
      <c r="BB45" s="5"/>
    </row>
    <row r="46" spans="2:54" x14ac:dyDescent="0.2">
      <c r="B46" s="4"/>
      <c r="C46" s="6" t="s">
        <v>18</v>
      </c>
      <c r="D46" s="6"/>
      <c r="E46" s="35">
        <f>+I18</f>
        <v>38.300000000000004</v>
      </c>
      <c r="F46" s="35"/>
      <c r="G46" s="10" t="s">
        <v>9</v>
      </c>
      <c r="H46" s="35">
        <f>+D45</f>
        <v>2.1246406354460197</v>
      </c>
      <c r="I46" s="35"/>
      <c r="J46" s="10" t="s">
        <v>8</v>
      </c>
      <c r="K46" s="35">
        <v>0.5</v>
      </c>
      <c r="L46" s="35"/>
      <c r="M46" s="10" t="s">
        <v>9</v>
      </c>
      <c r="N46" s="35">
        <f>+W7</f>
        <v>8.8800000000000008</v>
      </c>
      <c r="O46" s="35"/>
      <c r="P46" s="10" t="s">
        <v>9</v>
      </c>
      <c r="Q46" s="35">
        <f>+D45</f>
        <v>2.1246406354460197</v>
      </c>
      <c r="R46" s="35"/>
      <c r="S46" s="6" t="s">
        <v>17</v>
      </c>
      <c r="T46" s="35">
        <f>+T5</f>
        <v>17.22</v>
      </c>
      <c r="U46" s="35"/>
      <c r="V46" s="10" t="s">
        <v>9</v>
      </c>
      <c r="W46" s="35">
        <f>+D45</f>
        <v>2.1246406354460197</v>
      </c>
      <c r="X46" s="35"/>
      <c r="Y46" s="6" t="s">
        <v>10</v>
      </c>
      <c r="Z46" s="35">
        <f>+M19</f>
        <v>2</v>
      </c>
      <c r="AA46" s="35"/>
      <c r="AB46" s="10" t="s">
        <v>9</v>
      </c>
      <c r="AC46" s="35">
        <f>+D45</f>
        <v>2.1246406354460197</v>
      </c>
      <c r="AD46" s="35"/>
      <c r="AE46" s="6" t="s">
        <v>10</v>
      </c>
      <c r="AF46" s="6">
        <v>2</v>
      </c>
      <c r="AG46" s="10" t="s">
        <v>9</v>
      </c>
      <c r="AH46" s="35">
        <f>+D45</f>
        <v>2.1246406354460197</v>
      </c>
      <c r="AI46" s="35"/>
      <c r="AJ46" s="6" t="s">
        <v>10</v>
      </c>
      <c r="AK46" s="6">
        <v>3</v>
      </c>
      <c r="AL46" s="10" t="s">
        <v>8</v>
      </c>
      <c r="AM46" s="35">
        <f>+D14</f>
        <v>27.69</v>
      </c>
      <c r="AN46" s="35"/>
      <c r="AO46" s="6"/>
      <c r="AP46" s="6"/>
      <c r="AQ46" s="6"/>
      <c r="AX46" s="6"/>
      <c r="AY46" s="6"/>
      <c r="AZ46" s="6"/>
      <c r="BA46" s="6"/>
      <c r="BB46" s="5"/>
    </row>
    <row r="47" spans="2:54" x14ac:dyDescent="0.2">
      <c r="B47" s="4"/>
      <c r="C47" s="6" t="s">
        <v>18</v>
      </c>
      <c r="D47" s="6"/>
      <c r="E47" s="35">
        <f>+E46*H46-K46*N46*Q46^2-T46*W46/Z46*AC46/AF46*AH46/AK46-AM46</f>
        <v>19.878292770301439</v>
      </c>
      <c r="F47" s="35"/>
      <c r="G47" s="13" t="s">
        <v>2</v>
      </c>
      <c r="H47" s="10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X47" s="6"/>
      <c r="AY47" s="6"/>
      <c r="AZ47" s="6"/>
      <c r="BA47" s="6"/>
      <c r="BB47" s="5"/>
    </row>
    <row r="48" spans="2:54" x14ac:dyDescent="0.2">
      <c r="B48" s="4"/>
      <c r="C48" s="6" t="s">
        <v>36</v>
      </c>
      <c r="D48" s="6"/>
      <c r="E48" s="10"/>
      <c r="F48" s="10"/>
      <c r="G48" s="13"/>
      <c r="H48" s="10"/>
      <c r="I48" s="36">
        <f>IF(I18&lt;=Y18,E47,E40)</f>
        <v>19.884207696206342</v>
      </c>
      <c r="J48" s="36"/>
      <c r="K48" s="36"/>
      <c r="L48" s="11" t="s">
        <v>2</v>
      </c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X48" s="6"/>
      <c r="AY48" s="6"/>
      <c r="AZ48" s="6"/>
      <c r="BA48" s="6"/>
      <c r="BB48" s="5"/>
    </row>
    <row r="49" spans="2:54" x14ac:dyDescent="0.2">
      <c r="B49" s="4"/>
      <c r="C49" s="6" t="s">
        <v>28</v>
      </c>
      <c r="D49" s="6"/>
      <c r="E49" s="10"/>
      <c r="F49" s="10"/>
      <c r="G49" s="13"/>
      <c r="H49" s="10"/>
      <c r="I49" s="14" t="str">
        <f>IF(I18&lt;=Y18,"sol mesnetten","sağ mesnetten")</f>
        <v>sağ mesnetten</v>
      </c>
      <c r="J49" s="6"/>
      <c r="K49" s="6"/>
      <c r="L49" s="6"/>
      <c r="M49" s="6"/>
      <c r="N49" s="11" t="s">
        <v>15</v>
      </c>
      <c r="O49" s="36">
        <f>IF(I18&lt;=Y18,D45,D38)</f>
        <v>1.8700098275702532</v>
      </c>
      <c r="P49" s="36"/>
      <c r="Q49" s="36"/>
      <c r="R49" s="6" t="s">
        <v>37</v>
      </c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X49" s="6"/>
      <c r="AY49" s="6"/>
      <c r="AZ49" s="6"/>
      <c r="BA49" s="6"/>
      <c r="BB49" s="5"/>
    </row>
    <row r="50" spans="2:54" x14ac:dyDescent="0.2">
      <c r="B50" s="4"/>
      <c r="C50" s="9" t="s">
        <v>31</v>
      </c>
      <c r="D50" s="6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X50" s="6"/>
      <c r="AY50" s="6"/>
      <c r="AZ50" s="6"/>
      <c r="BA50" s="6"/>
      <c r="BB50" s="5"/>
    </row>
    <row r="51" spans="2:54" x14ac:dyDescent="0.2">
      <c r="B51" s="4"/>
      <c r="C51" s="6" t="s">
        <v>24</v>
      </c>
      <c r="D51" s="6"/>
      <c r="E51" s="35">
        <f>I18</f>
        <v>38.300000000000004</v>
      </c>
      <c r="F51" s="35"/>
      <c r="G51" s="10" t="s">
        <v>8</v>
      </c>
      <c r="H51" s="35">
        <f>+W7</f>
        <v>8.8800000000000008</v>
      </c>
      <c r="I51" s="35"/>
      <c r="J51" s="10" t="s">
        <v>9</v>
      </c>
      <c r="K51" s="35">
        <f>+I23/2</f>
        <v>0.25</v>
      </c>
      <c r="L51" s="35"/>
      <c r="M51" s="10" t="s">
        <v>8</v>
      </c>
      <c r="N51" s="35">
        <f>+I23/2</f>
        <v>0.25</v>
      </c>
      <c r="O51" s="35"/>
      <c r="P51" s="10" t="s">
        <v>9</v>
      </c>
      <c r="Q51" s="35">
        <f>+T5</f>
        <v>17.22</v>
      </c>
      <c r="R51" s="35"/>
      <c r="S51" s="6" t="s">
        <v>10</v>
      </c>
      <c r="T51" s="35">
        <f>+M19</f>
        <v>2</v>
      </c>
      <c r="U51" s="35"/>
      <c r="V51" s="10" t="s">
        <v>9</v>
      </c>
      <c r="W51" s="35">
        <f>+I23/2</f>
        <v>0.25</v>
      </c>
      <c r="X51" s="35"/>
      <c r="Y51" s="6" t="s">
        <v>10</v>
      </c>
      <c r="Z51" s="6">
        <v>2</v>
      </c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X51" s="6"/>
      <c r="AY51" s="6"/>
      <c r="AZ51" s="6"/>
      <c r="BA51" s="6"/>
      <c r="BB51" s="5"/>
    </row>
    <row r="52" spans="2:54" x14ac:dyDescent="0.2">
      <c r="B52" s="4"/>
      <c r="C52" s="14" t="s">
        <v>24</v>
      </c>
      <c r="D52" s="11"/>
      <c r="E52" s="36">
        <f>+E51-H51*K51-N51*Q51/T51*W51/Z51</f>
        <v>35.810937500000009</v>
      </c>
      <c r="F52" s="36"/>
      <c r="G52" s="36"/>
      <c r="H52" s="11" t="s">
        <v>4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X52" s="6"/>
      <c r="AY52" s="6"/>
      <c r="AZ52" s="6"/>
      <c r="BA52" s="6"/>
      <c r="BB52" s="5"/>
    </row>
    <row r="53" spans="2:54" x14ac:dyDescent="0.2">
      <c r="B53" s="4"/>
      <c r="C53" s="9" t="s">
        <v>32</v>
      </c>
      <c r="D53" s="6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X53" s="6"/>
      <c r="AY53" s="6"/>
      <c r="AZ53" s="6"/>
      <c r="BA53" s="6"/>
      <c r="BB53" s="5"/>
    </row>
    <row r="54" spans="2:54" x14ac:dyDescent="0.2">
      <c r="B54" s="4"/>
      <c r="C54" s="6" t="s">
        <v>25</v>
      </c>
      <c r="D54" s="6"/>
      <c r="E54" s="6"/>
      <c r="F54" s="35">
        <f>+Y18</f>
        <v>31.660000000000004</v>
      </c>
      <c r="G54" s="35"/>
      <c r="H54" s="10" t="s">
        <v>8</v>
      </c>
      <c r="I54" s="35">
        <f>+W7</f>
        <v>8.8800000000000008</v>
      </c>
      <c r="J54" s="35"/>
      <c r="K54" s="10" t="s">
        <v>9</v>
      </c>
      <c r="L54" s="35">
        <f>+Y23/2</f>
        <v>0.3</v>
      </c>
      <c r="M54" s="35"/>
      <c r="N54" s="10" t="s">
        <v>8</v>
      </c>
      <c r="O54" s="35">
        <f>+Y23/2</f>
        <v>0.3</v>
      </c>
      <c r="P54" s="35"/>
      <c r="Q54" s="10" t="s">
        <v>9</v>
      </c>
      <c r="R54" s="35">
        <f>+T5</f>
        <v>17.22</v>
      </c>
      <c r="S54" s="35"/>
      <c r="T54" s="6" t="s">
        <v>10</v>
      </c>
      <c r="U54" s="35">
        <f>+U19</f>
        <v>2</v>
      </c>
      <c r="V54" s="35"/>
      <c r="W54" s="10" t="s">
        <v>9</v>
      </c>
      <c r="X54" s="35">
        <f>+Y23/2</f>
        <v>0.3</v>
      </c>
      <c r="Y54" s="35"/>
      <c r="Z54" s="6" t="s">
        <v>10</v>
      </c>
      <c r="AA54" s="6">
        <v>2</v>
      </c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X54" s="6"/>
      <c r="AY54" s="6"/>
      <c r="AZ54" s="6"/>
      <c r="BA54" s="6"/>
      <c r="BB54" s="5"/>
    </row>
    <row r="55" spans="2:54" x14ac:dyDescent="0.2">
      <c r="B55" s="4"/>
      <c r="C55" s="14" t="s">
        <v>25</v>
      </c>
      <c r="D55" s="11"/>
      <c r="E55" s="11"/>
      <c r="F55" s="36">
        <f>+F54-I54*L54-O54*R54/U54*X54/AA54</f>
        <v>28.608550000000001</v>
      </c>
      <c r="G55" s="36"/>
      <c r="H55" s="36"/>
      <c r="I55" s="11" t="s">
        <v>4</v>
      </c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X55" s="6"/>
      <c r="AY55" s="6"/>
      <c r="AZ55" s="6"/>
      <c r="BA55" s="6"/>
      <c r="BB55" s="5"/>
    </row>
    <row r="56" spans="2:54" x14ac:dyDescent="0.2">
      <c r="B56" s="4"/>
      <c r="C56" s="9" t="s">
        <v>33</v>
      </c>
      <c r="D56" s="6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X56" s="6"/>
      <c r="AY56" s="6"/>
      <c r="AZ56" s="6"/>
      <c r="BA56" s="6"/>
      <c r="BB56" s="5"/>
    </row>
    <row r="57" spans="2:54" x14ac:dyDescent="0.2">
      <c r="B57" s="4"/>
      <c r="C57" s="6" t="s">
        <v>24</v>
      </c>
      <c r="D57" s="6"/>
      <c r="E57" s="35">
        <f>+I18</f>
        <v>38.300000000000004</v>
      </c>
      <c r="F57" s="35"/>
      <c r="G57" s="10" t="s">
        <v>8</v>
      </c>
      <c r="H57" s="35">
        <f>+W7</f>
        <v>8.8800000000000008</v>
      </c>
      <c r="I57" s="35"/>
      <c r="J57" s="10" t="s">
        <v>9</v>
      </c>
      <c r="K57" s="35">
        <f>+I23/2+AP13</f>
        <v>0.81</v>
      </c>
      <c r="L57" s="35"/>
      <c r="M57" s="10" t="s">
        <v>8</v>
      </c>
      <c r="N57" s="35">
        <f>+I23/2+AP13</f>
        <v>0.81</v>
      </c>
      <c r="O57" s="35"/>
      <c r="P57" s="10" t="s">
        <v>9</v>
      </c>
      <c r="Q57" s="35">
        <f>+T5</f>
        <v>17.22</v>
      </c>
      <c r="R57" s="35"/>
      <c r="S57" s="6" t="s">
        <v>10</v>
      </c>
      <c r="T57" s="35">
        <f>+M19</f>
        <v>2</v>
      </c>
      <c r="U57" s="35"/>
      <c r="V57" s="10" t="s">
        <v>9</v>
      </c>
      <c r="W57" s="35">
        <f>+I23/2+AP13</f>
        <v>0.81</v>
      </c>
      <c r="X57" s="35"/>
      <c r="Y57" s="6" t="s">
        <v>10</v>
      </c>
      <c r="Z57" s="6">
        <v>2</v>
      </c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X57" s="6"/>
      <c r="AY57" s="6"/>
      <c r="AZ57" s="6"/>
      <c r="BA57" s="6"/>
      <c r="BB57" s="5"/>
    </row>
    <row r="58" spans="2:54" x14ac:dyDescent="0.2">
      <c r="B58" s="4"/>
      <c r="C58" s="14" t="s">
        <v>24</v>
      </c>
      <c r="D58" s="11"/>
      <c r="E58" s="36">
        <f>+E57-H57*K57-N57*Q57/T57*W57/Z57</f>
        <v>28.282689500000004</v>
      </c>
      <c r="F58" s="36"/>
      <c r="G58" s="36"/>
      <c r="H58" s="11" t="s">
        <v>4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X58" s="6"/>
      <c r="AY58" s="6"/>
      <c r="AZ58" s="6"/>
      <c r="BA58" s="6"/>
      <c r="BB58" s="5"/>
    </row>
    <row r="59" spans="2:54" x14ac:dyDescent="0.2">
      <c r="B59" s="4"/>
      <c r="C59" s="9" t="s">
        <v>34</v>
      </c>
      <c r="D59" s="6"/>
      <c r="E59" s="10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X59" s="6"/>
      <c r="AY59" s="6"/>
      <c r="AZ59" s="6"/>
      <c r="BA59" s="6"/>
      <c r="BB59" s="5"/>
    </row>
    <row r="60" spans="2:54" x14ac:dyDescent="0.2">
      <c r="B60" s="4"/>
      <c r="C60" s="6" t="s">
        <v>25</v>
      </c>
      <c r="D60" s="6"/>
      <c r="E60" s="6"/>
      <c r="F60" s="35">
        <f>+Y18</f>
        <v>31.660000000000004</v>
      </c>
      <c r="G60" s="35"/>
      <c r="H60" s="10" t="s">
        <v>8</v>
      </c>
      <c r="I60" s="35">
        <f>+W7</f>
        <v>8.8800000000000008</v>
      </c>
      <c r="J60" s="35"/>
      <c r="K60" s="10" t="s">
        <v>9</v>
      </c>
      <c r="L60" s="35">
        <f>+Y23/2+AP13</f>
        <v>0.8600000000000001</v>
      </c>
      <c r="M60" s="35"/>
      <c r="N60" s="10" t="s">
        <v>8</v>
      </c>
      <c r="O60" s="35">
        <f>+Y23/2+AP13</f>
        <v>0.8600000000000001</v>
      </c>
      <c r="P60" s="35"/>
      <c r="Q60" s="10" t="s">
        <v>9</v>
      </c>
      <c r="R60" s="35">
        <f>+T5</f>
        <v>17.22</v>
      </c>
      <c r="S60" s="35"/>
      <c r="T60" s="6" t="s">
        <v>10</v>
      </c>
      <c r="U60" s="35">
        <f>+U19</f>
        <v>2</v>
      </c>
      <c r="V60" s="35"/>
      <c r="W60" s="10" t="s">
        <v>9</v>
      </c>
      <c r="X60" s="35">
        <f>+Y23/2+AP13</f>
        <v>0.8600000000000001</v>
      </c>
      <c r="Y60" s="35"/>
      <c r="Z60" s="6" t="s">
        <v>10</v>
      </c>
      <c r="AA60" s="6">
        <v>2</v>
      </c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X60" s="6"/>
      <c r="AY60" s="6"/>
      <c r="AZ60" s="6"/>
      <c r="BA60" s="6"/>
      <c r="BB60" s="5"/>
    </row>
    <row r="61" spans="2:54" x14ac:dyDescent="0.2">
      <c r="B61" s="4"/>
      <c r="C61" s="14" t="s">
        <v>25</v>
      </c>
      <c r="D61" s="11"/>
      <c r="E61" s="11"/>
      <c r="F61" s="36">
        <f>+F60-I60*L60-O60*R60/U60*X60/AA60</f>
        <v>20.839222000000003</v>
      </c>
      <c r="G61" s="36"/>
      <c r="H61" s="36"/>
      <c r="I61" s="11" t="s">
        <v>4</v>
      </c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X61" s="6"/>
      <c r="AY61" s="6"/>
      <c r="AZ61" s="6"/>
      <c r="BA61" s="6"/>
      <c r="BB61" s="5"/>
    </row>
    <row r="62" spans="2:54" x14ac:dyDescent="0.2">
      <c r="B62" s="4"/>
      <c r="C62" s="9" t="s">
        <v>38</v>
      </c>
      <c r="D62" s="6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X62" s="6"/>
      <c r="AY62" s="6"/>
      <c r="AZ62" s="6"/>
      <c r="BA62" s="6"/>
      <c r="BB62" s="5"/>
    </row>
    <row r="63" spans="2:54" x14ac:dyDescent="0.2">
      <c r="B63" s="4"/>
      <c r="C63" s="18" t="s">
        <v>39</v>
      </c>
      <c r="D63" s="18"/>
      <c r="E63" s="40">
        <f>-I18</f>
        <v>-38.300000000000004</v>
      </c>
      <c r="F63" s="40"/>
      <c r="G63" s="23" t="s">
        <v>9</v>
      </c>
      <c r="H63" s="40">
        <f>+I23/2</f>
        <v>0.25</v>
      </c>
      <c r="I63" s="40"/>
      <c r="J63" s="23" t="s">
        <v>7</v>
      </c>
      <c r="K63" s="40">
        <f>+W7</f>
        <v>8.8800000000000008</v>
      </c>
      <c r="L63" s="40"/>
      <c r="M63" s="23" t="s">
        <v>9</v>
      </c>
      <c r="N63" s="40">
        <f>+I23/2</f>
        <v>0.25</v>
      </c>
      <c r="O63" s="40"/>
      <c r="P63" s="23" t="s">
        <v>9</v>
      </c>
      <c r="Q63" s="40">
        <f>+N63/2</f>
        <v>0.125</v>
      </c>
      <c r="R63" s="40"/>
      <c r="S63" s="23" t="s">
        <v>7</v>
      </c>
      <c r="T63" s="40">
        <f>+T5</f>
        <v>17.22</v>
      </c>
      <c r="U63" s="40"/>
      <c r="V63" s="23" t="s">
        <v>9</v>
      </c>
      <c r="W63" s="40">
        <f>+I23/2</f>
        <v>0.25</v>
      </c>
      <c r="X63" s="40"/>
      <c r="Y63" s="18" t="s">
        <v>10</v>
      </c>
      <c r="Z63" s="40">
        <f>+M19</f>
        <v>2</v>
      </c>
      <c r="AA63" s="40"/>
      <c r="AB63" s="23" t="s">
        <v>9</v>
      </c>
      <c r="AC63" s="40">
        <f>+I23/2</f>
        <v>0.25</v>
      </c>
      <c r="AD63" s="40"/>
      <c r="AE63" s="18" t="s">
        <v>10</v>
      </c>
      <c r="AF63" s="18">
        <v>2</v>
      </c>
      <c r="AG63" s="23" t="s">
        <v>9</v>
      </c>
      <c r="AH63" s="18">
        <v>2</v>
      </c>
      <c r="AI63" s="23" t="s">
        <v>9</v>
      </c>
      <c r="AJ63" s="40">
        <f>+I23/2</f>
        <v>0.25</v>
      </c>
      <c r="AK63" s="40"/>
      <c r="AL63" s="18" t="s">
        <v>10</v>
      </c>
      <c r="AM63" s="18">
        <v>3</v>
      </c>
      <c r="AN63" s="23" t="s">
        <v>7</v>
      </c>
      <c r="AO63" s="40">
        <f>+D14</f>
        <v>27.69</v>
      </c>
      <c r="AP63" s="40"/>
      <c r="AQ63" s="18"/>
      <c r="AR63" s="21"/>
      <c r="AS63" s="21"/>
      <c r="AT63" s="21"/>
      <c r="AU63" s="21"/>
      <c r="AX63" s="6"/>
      <c r="AY63" s="6"/>
      <c r="AZ63" s="6"/>
      <c r="BA63" s="6"/>
      <c r="BB63" s="5"/>
    </row>
    <row r="64" spans="2:54" x14ac:dyDescent="0.2">
      <c r="B64" s="4"/>
      <c r="C64" s="6" t="s">
        <v>39</v>
      </c>
      <c r="D64" s="11"/>
      <c r="E64" s="36">
        <f>+E63*H63+K63*N63*Q63+T63*W63/Z63*AC63/AF63*AH63*AJ63/AM63+AO63</f>
        <v>18.43734375</v>
      </c>
      <c r="F64" s="36"/>
      <c r="G64" s="36"/>
      <c r="H64" s="11" t="s">
        <v>2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X64" s="6"/>
      <c r="AY64" s="6"/>
      <c r="AZ64" s="6"/>
      <c r="BA64" s="6"/>
      <c r="BB64" s="5"/>
    </row>
    <row r="65" spans="2:54" x14ac:dyDescent="0.2">
      <c r="B65" s="4"/>
      <c r="C65" s="9" t="s">
        <v>40</v>
      </c>
      <c r="D65" s="6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X65" s="6"/>
      <c r="AY65" s="6"/>
      <c r="AZ65" s="6"/>
      <c r="BA65" s="6"/>
      <c r="BB65" s="5"/>
    </row>
    <row r="66" spans="2:54" x14ac:dyDescent="0.2">
      <c r="B66" s="4"/>
      <c r="C66" s="6" t="s">
        <v>70</v>
      </c>
      <c r="D66" s="6"/>
      <c r="F66" s="35">
        <f>-Y18</f>
        <v>-31.660000000000004</v>
      </c>
      <c r="G66" s="35"/>
      <c r="H66" s="10" t="s">
        <v>9</v>
      </c>
      <c r="I66" s="35">
        <f>+Y23/2</f>
        <v>0.3</v>
      </c>
      <c r="J66" s="35"/>
      <c r="K66" s="10" t="s">
        <v>7</v>
      </c>
      <c r="L66" s="35">
        <f>+W7</f>
        <v>8.8800000000000008</v>
      </c>
      <c r="M66" s="35"/>
      <c r="N66" s="10" t="s">
        <v>9</v>
      </c>
      <c r="O66" s="35">
        <f>+Y23/2</f>
        <v>0.3</v>
      </c>
      <c r="P66" s="35"/>
      <c r="Q66" s="10" t="s">
        <v>9</v>
      </c>
      <c r="R66" s="35">
        <f>+O66/2</f>
        <v>0.15</v>
      </c>
      <c r="S66" s="35"/>
      <c r="T66" s="10" t="s">
        <v>7</v>
      </c>
      <c r="U66" s="35">
        <f>+T5</f>
        <v>17.22</v>
      </c>
      <c r="V66" s="35"/>
      <c r="W66" s="10" t="s">
        <v>9</v>
      </c>
      <c r="X66" s="35">
        <f>+Y23/2</f>
        <v>0.3</v>
      </c>
      <c r="Y66" s="35"/>
      <c r="Z66" s="6" t="s">
        <v>10</v>
      </c>
      <c r="AA66" s="35">
        <f>+U19</f>
        <v>2</v>
      </c>
      <c r="AB66" s="35"/>
      <c r="AC66" s="10" t="s">
        <v>9</v>
      </c>
      <c r="AD66" s="35">
        <f>+Y23/2</f>
        <v>0.3</v>
      </c>
      <c r="AE66" s="35"/>
      <c r="AF66" s="6" t="s">
        <v>10</v>
      </c>
      <c r="AG66" s="6">
        <v>2</v>
      </c>
      <c r="AH66" s="10" t="s">
        <v>9</v>
      </c>
      <c r="AI66" s="6">
        <v>2</v>
      </c>
      <c r="AJ66" s="10" t="s">
        <v>9</v>
      </c>
      <c r="AK66" s="35">
        <f>+Y23/2</f>
        <v>0.3</v>
      </c>
      <c r="AL66" s="35"/>
      <c r="AM66" s="6" t="s">
        <v>10</v>
      </c>
      <c r="AN66" s="6">
        <v>3</v>
      </c>
      <c r="AO66" s="10" t="s">
        <v>7</v>
      </c>
      <c r="AP66" s="35">
        <f>+AC14</f>
        <v>14.41</v>
      </c>
      <c r="AQ66" s="35"/>
      <c r="AX66" s="6"/>
      <c r="AY66" s="6"/>
      <c r="AZ66" s="6"/>
      <c r="BA66" s="6"/>
      <c r="BB66" s="5"/>
    </row>
    <row r="67" spans="2:54" x14ac:dyDescent="0.2">
      <c r="B67" s="4"/>
      <c r="C67" s="14" t="s">
        <v>70</v>
      </c>
      <c r="D67" s="11"/>
      <c r="F67" s="36">
        <f>+F66*I66+L66*O66*R66+U66*X66/AA66*AD66/AG66*AI66*AK66/AN66+AP66</f>
        <v>5.3890899999999977</v>
      </c>
      <c r="G67" s="36"/>
      <c r="H67" s="36"/>
      <c r="I67" s="11" t="s">
        <v>2</v>
      </c>
      <c r="J67" s="6"/>
      <c r="K67" s="6"/>
      <c r="L67" s="6"/>
      <c r="M67" s="6"/>
      <c r="N67" s="6"/>
      <c r="O67" s="6"/>
      <c r="P67" s="6"/>
      <c r="Q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X67" s="6"/>
      <c r="AY67" s="6"/>
      <c r="AZ67" s="6"/>
      <c r="BA67" s="6"/>
      <c r="BB67" s="5"/>
    </row>
    <row r="68" spans="2:54" x14ac:dyDescent="0.2">
      <c r="B68" s="4"/>
      <c r="C68" s="9" t="s">
        <v>41</v>
      </c>
      <c r="D68" s="6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X68" s="6"/>
      <c r="AY68" s="6"/>
      <c r="AZ68" s="6"/>
      <c r="BA68" s="6"/>
      <c r="BB68" s="5"/>
    </row>
    <row r="69" spans="2:54" x14ac:dyDescent="0.2">
      <c r="B69" s="4"/>
      <c r="C69" s="6" t="s">
        <v>42</v>
      </c>
      <c r="D69" s="6"/>
      <c r="E69" s="10"/>
      <c r="F69" s="10"/>
      <c r="G69" s="6"/>
      <c r="H69" s="6"/>
      <c r="I69" s="6"/>
      <c r="J69" s="35">
        <f>+D14</f>
        <v>27.69</v>
      </c>
      <c r="K69" s="35"/>
      <c r="L69" s="10" t="s">
        <v>8</v>
      </c>
      <c r="M69" s="35">
        <f>+I18</f>
        <v>38.300000000000004</v>
      </c>
      <c r="N69" s="35"/>
      <c r="O69" s="10" t="s">
        <v>9</v>
      </c>
      <c r="P69" s="35">
        <f>+I23</f>
        <v>0.5</v>
      </c>
      <c r="Q69" s="35"/>
      <c r="R69" s="6" t="s">
        <v>10</v>
      </c>
      <c r="S69" s="6">
        <v>3</v>
      </c>
      <c r="T69" s="10" t="s">
        <v>11</v>
      </c>
      <c r="U69" s="36">
        <f>+J69-M69*P69/S69</f>
        <v>21.306666666666668</v>
      </c>
      <c r="V69" s="36"/>
      <c r="W69" s="36"/>
      <c r="X69" s="11" t="s">
        <v>2</v>
      </c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X69" s="6"/>
      <c r="AY69" s="6"/>
      <c r="AZ69" s="6"/>
      <c r="BA69" s="6"/>
      <c r="BB69" s="5"/>
    </row>
    <row r="70" spans="2:54" x14ac:dyDescent="0.2">
      <c r="B70" s="4"/>
      <c r="C70" s="9" t="s">
        <v>69</v>
      </c>
      <c r="D70" s="6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X70" s="6"/>
      <c r="AY70" s="6"/>
      <c r="AZ70" s="6"/>
      <c r="BA70" s="6"/>
      <c r="BB70" s="5"/>
    </row>
    <row r="71" spans="2:54" x14ac:dyDescent="0.2">
      <c r="B71" s="4"/>
      <c r="C71" s="6" t="s">
        <v>45</v>
      </c>
      <c r="D71" s="6"/>
      <c r="E71" s="10"/>
      <c r="F71" s="10"/>
      <c r="G71" s="6"/>
      <c r="H71" s="6"/>
      <c r="I71" s="6"/>
      <c r="J71" s="35">
        <f>+AC14</f>
        <v>14.41</v>
      </c>
      <c r="K71" s="35"/>
      <c r="L71" s="10" t="s">
        <v>8</v>
      </c>
      <c r="M71" s="35">
        <f>+Y18</f>
        <v>31.660000000000004</v>
      </c>
      <c r="N71" s="35"/>
      <c r="O71" s="10" t="s">
        <v>9</v>
      </c>
      <c r="P71" s="35">
        <f>+Y23</f>
        <v>0.6</v>
      </c>
      <c r="Q71" s="35"/>
      <c r="R71" s="6" t="s">
        <v>10</v>
      </c>
      <c r="S71" s="6">
        <v>3</v>
      </c>
      <c r="T71" s="10" t="s">
        <v>11</v>
      </c>
      <c r="U71" s="36">
        <f>+J71-M71*P71/S71</f>
        <v>8.0779999999999994</v>
      </c>
      <c r="V71" s="36"/>
      <c r="W71" s="36"/>
      <c r="X71" s="11" t="s">
        <v>2</v>
      </c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X71" s="6"/>
      <c r="AY71" s="6"/>
      <c r="AZ71" s="6"/>
      <c r="BA71" s="6"/>
      <c r="BB71" s="5"/>
    </row>
    <row r="72" spans="2:54" x14ac:dyDescent="0.2">
      <c r="B72" s="4"/>
      <c r="C72" s="6"/>
      <c r="D72" s="6"/>
      <c r="E72" s="6"/>
      <c r="F72" s="6"/>
      <c r="G72" s="6"/>
      <c r="H72" s="6"/>
      <c r="I72" s="6"/>
      <c r="J72" s="6"/>
      <c r="K72" s="10"/>
      <c r="L72" s="10"/>
      <c r="M72" s="6"/>
      <c r="N72" s="6"/>
      <c r="O72" s="6"/>
      <c r="P72" s="10"/>
      <c r="Q72" s="10"/>
      <c r="R72" s="10"/>
      <c r="S72" s="10"/>
      <c r="T72" s="10"/>
      <c r="U72" s="10"/>
      <c r="V72" s="10"/>
      <c r="W72" s="10"/>
      <c r="X72" s="6"/>
      <c r="Y72" s="6"/>
      <c r="Z72" s="10"/>
      <c r="AA72" s="12"/>
      <c r="AB72" s="12"/>
      <c r="AC72" s="12"/>
      <c r="AD72" s="11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5"/>
    </row>
    <row r="73" spans="2:54" ht="12.75" x14ac:dyDescent="0.2">
      <c r="B73" s="4"/>
      <c r="C73" s="6"/>
      <c r="D73" s="6"/>
      <c r="E73" s="6"/>
      <c r="F73" s="6"/>
      <c r="G73" s="15" t="s">
        <v>67</v>
      </c>
      <c r="H73" s="6"/>
      <c r="I73" s="6"/>
      <c r="J73" s="6"/>
      <c r="K73" s="10"/>
      <c r="L73" s="10"/>
      <c r="M73" s="6"/>
      <c r="N73" s="6"/>
      <c r="O73" s="6"/>
      <c r="P73" s="10"/>
      <c r="Q73" s="10"/>
      <c r="R73" s="10"/>
      <c r="S73" s="10"/>
      <c r="T73" s="10"/>
      <c r="U73" s="10"/>
      <c r="V73" s="10"/>
      <c r="W73" s="10"/>
      <c r="X73" s="6"/>
      <c r="Y73" s="6"/>
      <c r="Z73" s="10"/>
      <c r="AA73" s="10"/>
      <c r="AB73" s="10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5"/>
    </row>
    <row r="74" spans="2:54" x14ac:dyDescent="0.2">
      <c r="B74" s="4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41">
        <v>17.989999999999998</v>
      </c>
      <c r="U74" s="41"/>
      <c r="V74" s="6" t="s">
        <v>1</v>
      </c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5"/>
    </row>
    <row r="75" spans="2:54" x14ac:dyDescent="0.2">
      <c r="B75" s="4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41">
        <v>12.43</v>
      </c>
      <c r="X75" s="41"/>
      <c r="Y75" s="6" t="s">
        <v>1</v>
      </c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5"/>
    </row>
    <row r="76" spans="2:54" x14ac:dyDescent="0.2">
      <c r="B76" s="4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5"/>
    </row>
    <row r="77" spans="2:54" x14ac:dyDescent="0.2">
      <c r="B77" s="4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5"/>
    </row>
    <row r="78" spans="2:54" x14ac:dyDescent="0.2">
      <c r="B78" s="4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M78" s="8" t="s">
        <v>35</v>
      </c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5"/>
    </row>
    <row r="79" spans="2:54" x14ac:dyDescent="0.2">
      <c r="B79" s="4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5"/>
    </row>
    <row r="80" spans="2:54" x14ac:dyDescent="0.2">
      <c r="B80" s="4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8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5"/>
    </row>
    <row r="81" spans="2:54" x14ac:dyDescent="0.2">
      <c r="B81" s="4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 t="s">
        <v>23</v>
      </c>
      <c r="AQ81" s="41">
        <v>0.56000000000000005</v>
      </c>
      <c r="AR81" s="41"/>
      <c r="AS81" s="6" t="s">
        <v>0</v>
      </c>
      <c r="AT81" s="6"/>
      <c r="AU81" s="6"/>
      <c r="AV81" s="6"/>
      <c r="AW81" s="6"/>
      <c r="AX81" s="6"/>
      <c r="AY81" s="6"/>
      <c r="AZ81" s="6"/>
      <c r="BA81" s="6"/>
      <c r="BB81" s="5"/>
    </row>
    <row r="82" spans="2:54" x14ac:dyDescent="0.2">
      <c r="B82" s="4"/>
      <c r="C82" s="6"/>
      <c r="D82" s="41">
        <v>50</v>
      </c>
      <c r="E82" s="41"/>
      <c r="F82" s="6" t="s">
        <v>2</v>
      </c>
      <c r="G82" s="6"/>
      <c r="H82" s="6"/>
      <c r="I82" s="6"/>
      <c r="J82" s="6"/>
      <c r="K82" s="6"/>
      <c r="L82" s="6"/>
      <c r="M82" s="6"/>
      <c r="N82" s="10">
        <v>1</v>
      </c>
      <c r="O82" s="6"/>
      <c r="P82" s="6"/>
      <c r="Q82" s="6"/>
      <c r="R82" s="13">
        <v>2</v>
      </c>
      <c r="S82" s="6"/>
      <c r="T82" s="6"/>
      <c r="U82" s="10">
        <v>3</v>
      </c>
      <c r="V82" s="6"/>
      <c r="W82" s="6"/>
      <c r="X82" s="6"/>
      <c r="Y82" s="6"/>
      <c r="Z82" s="6"/>
      <c r="AA82" s="6"/>
      <c r="AB82" s="6"/>
      <c r="AC82" s="41">
        <v>75</v>
      </c>
      <c r="AD82" s="41"/>
      <c r="AE82" s="6" t="s">
        <v>2</v>
      </c>
      <c r="AF82" s="6"/>
      <c r="AG82" s="6"/>
      <c r="AH82" s="6"/>
      <c r="AI82" s="6"/>
      <c r="AJ82" s="6"/>
      <c r="AK82" s="6"/>
      <c r="AL82" s="6"/>
      <c r="AM82" s="6"/>
      <c r="AN82" s="6"/>
      <c r="AO82" s="6"/>
      <c r="AT82" s="6"/>
      <c r="AU82" s="6"/>
      <c r="AV82" s="6"/>
      <c r="AW82" s="6"/>
      <c r="AX82" s="6"/>
      <c r="AY82" s="6"/>
      <c r="AZ82" s="6"/>
      <c r="BA82" s="6"/>
      <c r="BB82" s="5"/>
    </row>
    <row r="83" spans="2:54" x14ac:dyDescent="0.2">
      <c r="B83" s="4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5"/>
    </row>
    <row r="84" spans="2:54" x14ac:dyDescent="0.2">
      <c r="B84" s="4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5"/>
    </row>
    <row r="85" spans="2:54" x14ac:dyDescent="0.2">
      <c r="B85" s="4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5"/>
    </row>
    <row r="86" spans="2:54" x14ac:dyDescent="0.2">
      <c r="B86" s="4"/>
      <c r="C86" s="6"/>
      <c r="D86" s="6"/>
      <c r="E86" s="6"/>
      <c r="F86" s="6"/>
      <c r="G86" s="6"/>
      <c r="H86" s="6" t="s">
        <v>3</v>
      </c>
      <c r="I86" s="35">
        <f>+D96</f>
        <v>55.308749999999996</v>
      </c>
      <c r="J86" s="35"/>
      <c r="K86" s="6" t="s">
        <v>4</v>
      </c>
      <c r="L86" s="6"/>
      <c r="P86" s="6"/>
      <c r="Q86" s="6"/>
      <c r="R86" s="6"/>
      <c r="S86" s="6"/>
      <c r="W86" s="6"/>
      <c r="X86" s="6" t="s">
        <v>5</v>
      </c>
      <c r="Y86" s="35">
        <f>+D100</f>
        <v>65.308750000000003</v>
      </c>
      <c r="Z86" s="35"/>
      <c r="AA86" s="6" t="s">
        <v>4</v>
      </c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5"/>
    </row>
    <row r="87" spans="2:54" x14ac:dyDescent="0.2">
      <c r="B87" s="4"/>
      <c r="C87" s="6"/>
      <c r="D87" s="6"/>
      <c r="E87" s="6"/>
      <c r="F87" s="6"/>
      <c r="G87" s="6"/>
      <c r="H87" s="6"/>
      <c r="I87" s="6"/>
      <c r="J87" s="6"/>
      <c r="K87" s="35">
        <f>(Q89-Q87)/2</f>
        <v>1.75</v>
      </c>
      <c r="L87" s="35"/>
      <c r="M87" s="6" t="s">
        <v>0</v>
      </c>
      <c r="P87" s="6"/>
      <c r="Q87" s="41">
        <v>1.5</v>
      </c>
      <c r="R87" s="41"/>
      <c r="S87" s="6" t="s">
        <v>0</v>
      </c>
      <c r="T87" s="6"/>
      <c r="V87" s="35">
        <f>+K87</f>
        <v>1.75</v>
      </c>
      <c r="W87" s="35"/>
      <c r="X87" s="6" t="s">
        <v>0</v>
      </c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5"/>
    </row>
    <row r="88" spans="2:54" x14ac:dyDescent="0.2">
      <c r="B88" s="4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5"/>
    </row>
    <row r="89" spans="2:54" x14ac:dyDescent="0.2">
      <c r="B89" s="4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41">
        <v>5</v>
      </c>
      <c r="R89" s="41"/>
      <c r="S89" s="6" t="s">
        <v>0</v>
      </c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5"/>
    </row>
    <row r="90" spans="2:54" x14ac:dyDescent="0.2">
      <c r="B90" s="4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5"/>
    </row>
    <row r="91" spans="2:54" x14ac:dyDescent="0.2">
      <c r="B91" s="4"/>
      <c r="C91" s="6"/>
      <c r="D91" s="6"/>
      <c r="E91" s="6"/>
      <c r="F91" s="6"/>
      <c r="G91" s="6"/>
      <c r="H91" s="6" t="s">
        <v>43</v>
      </c>
      <c r="I91" s="41">
        <v>0.5</v>
      </c>
      <c r="J91" s="41"/>
      <c r="K91" s="6" t="s">
        <v>22</v>
      </c>
      <c r="L91" s="6" t="s">
        <v>21</v>
      </c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 t="s">
        <v>44</v>
      </c>
      <c r="Y91" s="41">
        <v>0.6</v>
      </c>
      <c r="Z91" s="41"/>
      <c r="AA91" s="6" t="s">
        <v>22</v>
      </c>
      <c r="AB91" s="6" t="s">
        <v>21</v>
      </c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5"/>
    </row>
    <row r="92" spans="2:54" x14ac:dyDescent="0.2">
      <c r="B92" s="4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5"/>
    </row>
    <row r="93" spans="2:54" x14ac:dyDescent="0.2">
      <c r="B93" s="4"/>
      <c r="C93" s="9" t="s">
        <v>29</v>
      </c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BB93" s="5"/>
    </row>
    <row r="94" spans="2:54" x14ac:dyDescent="0.2">
      <c r="B94" s="4"/>
      <c r="C94" s="6" t="s">
        <v>19</v>
      </c>
      <c r="D94" s="6"/>
      <c r="E94" s="6"/>
      <c r="F94" s="6"/>
      <c r="G94" s="6"/>
      <c r="H94" s="6"/>
      <c r="I94" s="6"/>
      <c r="J94" s="6"/>
      <c r="K94" s="6"/>
      <c r="AN94" s="6"/>
      <c r="AO94" s="6"/>
      <c r="AP94" s="6"/>
      <c r="AQ94" s="6"/>
      <c r="AR94" s="6"/>
      <c r="AS94" s="6"/>
      <c r="AT94" s="6"/>
      <c r="AU94" s="6"/>
      <c r="BB94" s="5"/>
    </row>
    <row r="95" spans="2:54" x14ac:dyDescent="0.2">
      <c r="B95" s="4"/>
      <c r="C95" s="6" t="s">
        <v>6</v>
      </c>
      <c r="D95" s="35">
        <f>+Q89</f>
        <v>5</v>
      </c>
      <c r="E95" s="35"/>
      <c r="F95" s="24" t="s">
        <v>7</v>
      </c>
      <c r="G95" s="35">
        <f>+AC82</f>
        <v>75</v>
      </c>
      <c r="H95" s="35"/>
      <c r="I95" s="24" t="s">
        <v>8</v>
      </c>
      <c r="J95" s="35">
        <f>+D82</f>
        <v>50</v>
      </c>
      <c r="K95" s="35"/>
      <c r="L95" s="24" t="s">
        <v>47</v>
      </c>
      <c r="M95" s="35">
        <f>+Q87</f>
        <v>1.5</v>
      </c>
      <c r="N95" s="35"/>
      <c r="O95" s="1" t="s">
        <v>7</v>
      </c>
      <c r="P95" s="38">
        <f>+Q89</f>
        <v>5</v>
      </c>
      <c r="Q95" s="38"/>
      <c r="R95" s="1" t="s">
        <v>48</v>
      </c>
      <c r="S95" s="1">
        <v>2</v>
      </c>
      <c r="T95" s="25" t="s">
        <v>9</v>
      </c>
      <c r="U95" s="38">
        <f>+T74</f>
        <v>17.989999999999998</v>
      </c>
      <c r="V95" s="38"/>
      <c r="W95" s="25" t="s">
        <v>9</v>
      </c>
      <c r="X95" s="38">
        <f>+Q89/2</f>
        <v>2.5</v>
      </c>
      <c r="Y95" s="38"/>
      <c r="Z95" s="24" t="s">
        <v>8</v>
      </c>
      <c r="AA95" s="35">
        <f>+W75</f>
        <v>12.43</v>
      </c>
      <c r="AB95" s="35"/>
      <c r="AC95" s="24" t="s">
        <v>9</v>
      </c>
      <c r="AD95" s="35">
        <f>+Q89</f>
        <v>5</v>
      </c>
      <c r="AE95" s="35"/>
      <c r="AF95" s="24" t="s">
        <v>9</v>
      </c>
      <c r="AG95" s="35">
        <f>+Q89/2</f>
        <v>2.5</v>
      </c>
      <c r="AH95" s="35"/>
      <c r="AI95" s="24" t="s">
        <v>11</v>
      </c>
      <c r="AJ95" s="6">
        <v>0</v>
      </c>
      <c r="BB95" s="5"/>
    </row>
    <row r="96" spans="2:54" x14ac:dyDescent="0.2">
      <c r="B96" s="4"/>
      <c r="C96" s="14" t="s">
        <v>3</v>
      </c>
      <c r="D96" s="36">
        <f>(-G95+J95+(M95+P95)/S95*U95*X95+AA95*AD95*AG95)/D95</f>
        <v>55.308749999999996</v>
      </c>
      <c r="E96" s="36"/>
      <c r="F96" s="36"/>
      <c r="G96" s="11" t="s">
        <v>4</v>
      </c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BB96" s="5"/>
    </row>
    <row r="97" spans="1:54" x14ac:dyDescent="0.2">
      <c r="B97" s="4"/>
      <c r="C97" s="9" t="s">
        <v>30</v>
      </c>
      <c r="D97" s="26"/>
      <c r="E97" s="26"/>
      <c r="F97" s="26"/>
      <c r="G97" s="11"/>
      <c r="H97" s="6"/>
      <c r="I97" s="6"/>
      <c r="J97" s="6"/>
      <c r="K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BB97" s="5"/>
    </row>
    <row r="98" spans="1:54" x14ac:dyDescent="0.2">
      <c r="B98" s="4"/>
      <c r="C98" s="6" t="s">
        <v>20</v>
      </c>
      <c r="D98" s="24"/>
      <c r="E98" s="24"/>
      <c r="F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BB98" s="5"/>
    </row>
    <row r="99" spans="1:54" x14ac:dyDescent="0.2">
      <c r="B99" s="4"/>
      <c r="C99" s="6" t="s">
        <v>55</v>
      </c>
      <c r="D99" s="6"/>
      <c r="E99" s="38">
        <f>+I86</f>
        <v>55.308749999999996</v>
      </c>
      <c r="F99" s="38"/>
      <c r="G99" s="1" t="s">
        <v>47</v>
      </c>
      <c r="H99" s="35">
        <f>+Q87</f>
        <v>1.5</v>
      </c>
      <c r="I99" s="35"/>
      <c r="J99" s="24" t="s">
        <v>7</v>
      </c>
      <c r="K99" s="35">
        <f>+Q89</f>
        <v>5</v>
      </c>
      <c r="L99" s="35"/>
      <c r="M99" s="6" t="s">
        <v>49</v>
      </c>
      <c r="N99" s="6">
        <v>2</v>
      </c>
      <c r="O99" s="24" t="s">
        <v>9</v>
      </c>
      <c r="P99" s="38">
        <f>+T74</f>
        <v>17.989999999999998</v>
      </c>
      <c r="Q99" s="38"/>
      <c r="R99" s="25" t="s">
        <v>8</v>
      </c>
      <c r="S99" s="35">
        <f>+W75</f>
        <v>12.43</v>
      </c>
      <c r="T99" s="35"/>
      <c r="U99" s="24" t="s">
        <v>9</v>
      </c>
      <c r="V99" s="35">
        <f>+Q89</f>
        <v>5</v>
      </c>
      <c r="W99" s="35"/>
      <c r="X99" s="24" t="s">
        <v>11</v>
      </c>
      <c r="Y99" s="6">
        <v>0</v>
      </c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BB99" s="5"/>
    </row>
    <row r="100" spans="1:54" x14ac:dyDescent="0.2">
      <c r="B100" s="4"/>
      <c r="C100" s="14" t="s">
        <v>5</v>
      </c>
      <c r="D100" s="36">
        <f>-E99+(H99+K99)/N99*P99+S99*V99</f>
        <v>65.308750000000003</v>
      </c>
      <c r="E100" s="36"/>
      <c r="F100" s="36"/>
      <c r="G100" s="11" t="s">
        <v>4</v>
      </c>
      <c r="H100" s="6"/>
      <c r="I100" s="6"/>
      <c r="J100" s="6"/>
      <c r="K100" s="6"/>
      <c r="L100" s="6"/>
      <c r="M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BB100" s="5"/>
    </row>
    <row r="101" spans="1:54" x14ac:dyDescent="0.2">
      <c r="B101" s="4"/>
      <c r="C101" s="9" t="s">
        <v>68</v>
      </c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BB101" s="5"/>
    </row>
    <row r="102" spans="1:54" x14ac:dyDescent="0.2">
      <c r="A102" s="21"/>
      <c r="B102" s="19"/>
      <c r="C102" s="18" t="s">
        <v>51</v>
      </c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21"/>
      <c r="AW102" s="21"/>
      <c r="AX102" s="21"/>
      <c r="AY102" s="21"/>
      <c r="AZ102" s="21"/>
      <c r="BA102" s="21"/>
      <c r="BB102" s="27"/>
    </row>
    <row r="103" spans="1:54" x14ac:dyDescent="0.2">
      <c r="B103" s="4"/>
      <c r="C103" s="6" t="s">
        <v>50</v>
      </c>
      <c r="D103" s="6"/>
      <c r="E103" s="35">
        <f>+I86</f>
        <v>55.308749999999996</v>
      </c>
      <c r="F103" s="35"/>
      <c r="G103" s="24" t="s">
        <v>8</v>
      </c>
      <c r="H103" s="35">
        <f>+W75</f>
        <v>12.43</v>
      </c>
      <c r="I103" s="35"/>
      <c r="J103" s="24" t="s">
        <v>9</v>
      </c>
      <c r="K103" s="35">
        <f>+K87</f>
        <v>1.75</v>
      </c>
      <c r="L103" s="35"/>
      <c r="M103" s="24" t="s">
        <v>8</v>
      </c>
      <c r="N103" s="35">
        <f>+T74</f>
        <v>17.989999999999998</v>
      </c>
      <c r="O103" s="35"/>
      <c r="P103" s="24" t="s">
        <v>9</v>
      </c>
      <c r="Q103" s="35">
        <f>+K87</f>
        <v>1.75</v>
      </c>
      <c r="R103" s="35"/>
      <c r="S103" s="6" t="s">
        <v>10</v>
      </c>
      <c r="T103" s="6">
        <v>2</v>
      </c>
      <c r="U103" s="24" t="s">
        <v>11</v>
      </c>
      <c r="V103" s="35">
        <f>+E103-H103*K103-N103*Q103/T103</f>
        <v>17.814999999999998</v>
      </c>
      <c r="W103" s="35"/>
      <c r="X103" s="6" t="s">
        <v>4</v>
      </c>
      <c r="Y103" s="6"/>
      <c r="Z103" s="6"/>
      <c r="AA103" s="6"/>
      <c r="AB103" s="6"/>
      <c r="AG103" s="6"/>
      <c r="AH103" s="6"/>
      <c r="AI103" s="6"/>
      <c r="AJ103" s="6"/>
      <c r="AO103" s="6"/>
      <c r="AP103" s="6"/>
      <c r="AQ103" s="6"/>
      <c r="AR103" s="6"/>
      <c r="AS103" s="6"/>
      <c r="AT103" s="6"/>
      <c r="AU103" s="6"/>
      <c r="BB103" s="5"/>
    </row>
    <row r="104" spans="1:54" x14ac:dyDescent="0.2">
      <c r="B104" s="4"/>
      <c r="C104" s="6" t="s">
        <v>62</v>
      </c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BB104" s="5"/>
    </row>
    <row r="105" spans="1:54" x14ac:dyDescent="0.2">
      <c r="B105" s="4"/>
      <c r="C105" s="35">
        <f>+I86</f>
        <v>55.308749999999996</v>
      </c>
      <c r="D105" s="35"/>
      <c r="E105" s="24" t="s">
        <v>8</v>
      </c>
      <c r="F105" s="35">
        <f>+W75</f>
        <v>12.43</v>
      </c>
      <c r="G105" s="35"/>
      <c r="H105" s="6" t="s">
        <v>52</v>
      </c>
      <c r="I105" s="6"/>
      <c r="J105" s="35">
        <f>+K87</f>
        <v>1.75</v>
      </c>
      <c r="K105" s="35"/>
      <c r="L105" s="24" t="s">
        <v>9</v>
      </c>
      <c r="M105" s="35">
        <f>+T74</f>
        <v>17.989999999999998</v>
      </c>
      <c r="N105" s="35"/>
      <c r="O105" s="6" t="s">
        <v>10</v>
      </c>
      <c r="P105" s="6">
        <v>2</v>
      </c>
      <c r="Q105" s="6" t="s">
        <v>53</v>
      </c>
      <c r="S105" s="38">
        <f>+K87</f>
        <v>1.75</v>
      </c>
      <c r="T105" s="38"/>
      <c r="U105" s="6" t="s">
        <v>54</v>
      </c>
      <c r="V105" s="35">
        <f>+T74</f>
        <v>17.989999999999998</v>
      </c>
      <c r="W105" s="35"/>
      <c r="X105" s="24" t="s">
        <v>11</v>
      </c>
      <c r="Y105" s="6">
        <v>0</v>
      </c>
      <c r="AA105" s="6"/>
      <c r="AB105" s="6"/>
      <c r="AC105" s="6"/>
      <c r="AD105" s="6"/>
      <c r="AE105" s="6"/>
      <c r="AF105" s="6"/>
      <c r="AG105" s="6"/>
      <c r="AJ105" s="6"/>
      <c r="AN105" s="6"/>
      <c r="AO105" s="6"/>
      <c r="AP105" s="6"/>
      <c r="AQ105" s="6"/>
      <c r="AR105" s="6"/>
      <c r="AS105" s="6"/>
      <c r="AT105" s="6"/>
      <c r="AU105" s="6"/>
      <c r="BB105" s="5"/>
    </row>
    <row r="106" spans="1:54" x14ac:dyDescent="0.2">
      <c r="B106" s="4"/>
      <c r="C106" s="35">
        <f>-F105-V105</f>
        <v>-30.419999999999998</v>
      </c>
      <c r="D106" s="35"/>
      <c r="E106" s="6" t="s">
        <v>13</v>
      </c>
      <c r="F106" s="6"/>
      <c r="G106" s="35">
        <f>+C105-J105*M105/P105+S105*V105</f>
        <v>71.05</v>
      </c>
      <c r="H106" s="35"/>
      <c r="I106" s="24" t="s">
        <v>11</v>
      </c>
      <c r="J106" s="6">
        <v>0</v>
      </c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BB106" s="5"/>
    </row>
    <row r="107" spans="1:54" x14ac:dyDescent="0.2">
      <c r="B107" s="4"/>
      <c r="C107" s="6" t="s">
        <v>15</v>
      </c>
      <c r="D107" s="35">
        <f>+G106/-C106</f>
        <v>2.3356344510190663</v>
      </c>
      <c r="E107" s="35"/>
      <c r="F107" s="6" t="s">
        <v>0</v>
      </c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BB107" s="5"/>
    </row>
    <row r="108" spans="1:54" x14ac:dyDescent="0.2">
      <c r="B108" s="4"/>
      <c r="C108" s="6" t="s">
        <v>18</v>
      </c>
      <c r="D108" s="6"/>
      <c r="E108" s="35">
        <f>+I86</f>
        <v>55.308749999999996</v>
      </c>
      <c r="F108" s="35"/>
      <c r="G108" s="24" t="s">
        <v>9</v>
      </c>
      <c r="H108" s="35">
        <f>+D107</f>
        <v>2.3356344510190663</v>
      </c>
      <c r="I108" s="35"/>
      <c r="J108" s="24" t="s">
        <v>8</v>
      </c>
      <c r="K108" s="35">
        <v>0.5</v>
      </c>
      <c r="L108" s="35"/>
      <c r="M108" s="24" t="s">
        <v>9</v>
      </c>
      <c r="N108" s="35">
        <f>+W75</f>
        <v>12.43</v>
      </c>
      <c r="O108" s="35"/>
      <c r="P108" s="24" t="s">
        <v>9</v>
      </c>
      <c r="Q108" s="35">
        <f>+D107</f>
        <v>2.3356344510190663</v>
      </c>
      <c r="R108" s="35"/>
      <c r="S108" s="6" t="s">
        <v>17</v>
      </c>
      <c r="T108" s="35">
        <f>+K87</f>
        <v>1.75</v>
      </c>
      <c r="U108" s="35"/>
      <c r="V108" s="24" t="s">
        <v>9</v>
      </c>
      <c r="W108" s="35">
        <f>+T74</f>
        <v>17.989999999999998</v>
      </c>
      <c r="X108" s="35"/>
      <c r="Y108" s="6" t="s">
        <v>10</v>
      </c>
      <c r="Z108" s="6">
        <v>2</v>
      </c>
      <c r="AA108" s="24" t="s">
        <v>9</v>
      </c>
      <c r="AB108" s="35">
        <f>(D107-K87)+K87/3</f>
        <v>1.1689677843523998</v>
      </c>
      <c r="AC108" s="35"/>
      <c r="AD108" s="24" t="s">
        <v>8</v>
      </c>
      <c r="AE108" s="35">
        <f>+T74</f>
        <v>17.989999999999998</v>
      </c>
      <c r="AF108" s="35"/>
      <c r="AG108" s="24" t="s">
        <v>9</v>
      </c>
      <c r="AH108" s="35">
        <f>+D107-K87</f>
        <v>0.5856344510190663</v>
      </c>
      <c r="AI108" s="35"/>
      <c r="AJ108" s="6" t="s">
        <v>59</v>
      </c>
      <c r="AK108" s="6">
        <v>2</v>
      </c>
      <c r="AL108" s="24" t="s">
        <v>8</v>
      </c>
      <c r="AM108" s="35">
        <f>+D82</f>
        <v>50</v>
      </c>
      <c r="AN108" s="35"/>
      <c r="AO108" s="24" t="s">
        <v>11</v>
      </c>
      <c r="AP108" s="35">
        <f>E108*H108-K108*N108*Q108^2-T108*W108/Z108*AB108-AE108*AH108^2/AK108-AM108</f>
        <v>23.79101803911901</v>
      </c>
      <c r="AQ108" s="35"/>
      <c r="AR108" s="6" t="s">
        <v>2</v>
      </c>
      <c r="AS108" s="6"/>
      <c r="AT108" s="6"/>
      <c r="AU108" s="24"/>
      <c r="AV108" s="6"/>
      <c r="AW108" s="6"/>
      <c r="AX108" s="6"/>
      <c r="BB108" s="5"/>
    </row>
    <row r="109" spans="1:54" x14ac:dyDescent="0.2">
      <c r="B109" s="4"/>
      <c r="C109" s="6" t="s">
        <v>63</v>
      </c>
      <c r="D109" s="6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6"/>
      <c r="T109" s="24"/>
      <c r="U109" s="24"/>
      <c r="V109" s="24"/>
      <c r="W109" s="24"/>
      <c r="X109" s="24"/>
      <c r="Y109" s="6"/>
      <c r="AB109" s="24"/>
      <c r="AC109" s="24"/>
      <c r="AD109" s="24"/>
      <c r="AG109" s="24"/>
      <c r="AH109" s="24"/>
      <c r="AI109" s="24"/>
      <c r="AJ109" s="6"/>
      <c r="AK109" s="6"/>
      <c r="AL109" s="24"/>
      <c r="AM109" s="24"/>
      <c r="AN109" s="24"/>
      <c r="AO109" s="24"/>
      <c r="AP109" s="24"/>
      <c r="AQ109" s="24"/>
      <c r="AR109" s="6"/>
      <c r="AS109" s="6"/>
      <c r="AT109" s="6"/>
      <c r="AU109" s="6"/>
      <c r="BB109" s="5"/>
    </row>
    <row r="110" spans="1:54" x14ac:dyDescent="0.2">
      <c r="B110" s="4"/>
      <c r="C110" s="35">
        <f>+I86</f>
        <v>55.308749999999996</v>
      </c>
      <c r="D110" s="35"/>
      <c r="E110" s="24" t="s">
        <v>8</v>
      </c>
      <c r="F110" s="35">
        <f>+W75</f>
        <v>12.43</v>
      </c>
      <c r="G110" s="35"/>
      <c r="H110" s="6" t="s">
        <v>52</v>
      </c>
      <c r="I110" s="6"/>
      <c r="J110" s="35">
        <f>+T74</f>
        <v>17.989999999999998</v>
      </c>
      <c r="K110" s="35"/>
      <c r="L110" s="6" t="s">
        <v>57</v>
      </c>
      <c r="M110" s="6"/>
      <c r="N110" s="35">
        <f>+K87</f>
        <v>1.75</v>
      </c>
      <c r="O110" s="35"/>
      <c r="P110" s="6" t="s">
        <v>58</v>
      </c>
      <c r="Q110" s="6"/>
      <c r="R110" s="6">
        <v>2</v>
      </c>
      <c r="S110" s="24" t="s">
        <v>11</v>
      </c>
      <c r="T110" s="6">
        <v>0</v>
      </c>
      <c r="V110" s="6"/>
      <c r="W110" s="6"/>
      <c r="X110" s="6"/>
      <c r="Y110" s="6"/>
      <c r="AB110" s="6"/>
      <c r="AE110" s="6"/>
      <c r="AH110" s="6"/>
      <c r="AI110" s="6"/>
      <c r="AJ110" s="6"/>
      <c r="AN110" s="6"/>
      <c r="AO110" s="6"/>
      <c r="AP110" s="6"/>
      <c r="AQ110" s="6"/>
      <c r="AR110" s="6"/>
      <c r="AS110" s="6"/>
      <c r="AT110" s="6"/>
      <c r="AU110" s="6"/>
      <c r="BB110" s="5"/>
    </row>
    <row r="111" spans="1:54" x14ac:dyDescent="0.2">
      <c r="B111" s="4"/>
      <c r="C111" s="35">
        <f>-J110/N110/R110</f>
        <v>-5.14</v>
      </c>
      <c r="D111" s="35"/>
      <c r="E111" s="6" t="s">
        <v>16</v>
      </c>
      <c r="F111" s="6"/>
      <c r="G111" s="35">
        <f>-F110</f>
        <v>-12.43</v>
      </c>
      <c r="H111" s="35"/>
      <c r="I111" s="13" t="s">
        <v>13</v>
      </c>
      <c r="K111" s="35">
        <f>+C110</f>
        <v>55.308749999999996</v>
      </c>
      <c r="L111" s="35"/>
      <c r="M111" s="24" t="s">
        <v>11</v>
      </c>
      <c r="N111" s="6">
        <v>0</v>
      </c>
      <c r="O111" s="6"/>
      <c r="P111" s="6"/>
      <c r="Q111" s="6"/>
      <c r="R111" s="6"/>
      <c r="S111" s="6"/>
      <c r="T111" s="6" t="s">
        <v>15</v>
      </c>
      <c r="U111" s="35">
        <f>(-G111+SQRT(G111^2-4*C111*K111))/(2*C111)</f>
        <v>-4.7052112359450042</v>
      </c>
      <c r="V111" s="35"/>
      <c r="W111" s="6" t="s">
        <v>0</v>
      </c>
      <c r="X111" s="6"/>
      <c r="Y111" s="6"/>
      <c r="Z111" s="6"/>
      <c r="AA111" s="6" t="s">
        <v>15</v>
      </c>
      <c r="AB111" s="35">
        <f>(-G111-SQRT(G111^2-4*C111*K111))/(2*C111)</f>
        <v>2.2869232982018137</v>
      </c>
      <c r="AC111" s="35"/>
      <c r="AD111" s="6" t="s">
        <v>0</v>
      </c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BB111" s="5"/>
    </row>
    <row r="112" spans="1:54" x14ac:dyDescent="0.2">
      <c r="B112" s="4"/>
      <c r="C112" s="6" t="s">
        <v>15</v>
      </c>
      <c r="D112" s="35">
        <f>IF(U111&gt;0,U111,IF(AB111&gt;0,AB111,"hatalı"))</f>
        <v>2.2869232982018137</v>
      </c>
      <c r="E112" s="35"/>
      <c r="F112" s="6" t="s">
        <v>0</v>
      </c>
      <c r="G112" s="6"/>
      <c r="H112" s="6"/>
      <c r="I112" s="24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S112" s="6"/>
      <c r="AT112" s="6"/>
      <c r="AU112" s="6"/>
      <c r="BB112" s="5"/>
    </row>
    <row r="113" spans="1:54" x14ac:dyDescent="0.2">
      <c r="B113" s="4"/>
      <c r="C113" s="6" t="s">
        <v>18</v>
      </c>
      <c r="D113" s="6"/>
      <c r="E113" s="35">
        <f>+I86</f>
        <v>55.308749999999996</v>
      </c>
      <c r="F113" s="35"/>
      <c r="G113" s="24" t="s">
        <v>9</v>
      </c>
      <c r="H113" s="35">
        <f>+D112</f>
        <v>2.2869232982018137</v>
      </c>
      <c r="I113" s="35"/>
      <c r="J113" s="24" t="s">
        <v>8</v>
      </c>
      <c r="K113" s="35">
        <v>0.5</v>
      </c>
      <c r="L113" s="35"/>
      <c r="M113" s="24" t="s">
        <v>9</v>
      </c>
      <c r="N113" s="35">
        <f>+W75</f>
        <v>12.43</v>
      </c>
      <c r="O113" s="35"/>
      <c r="P113" s="24" t="s">
        <v>9</v>
      </c>
      <c r="Q113" s="35">
        <f>+D112</f>
        <v>2.2869232982018137</v>
      </c>
      <c r="R113" s="35"/>
      <c r="S113" s="6" t="s">
        <v>17</v>
      </c>
      <c r="T113" s="35">
        <f>+D112</f>
        <v>2.2869232982018137</v>
      </c>
      <c r="U113" s="35"/>
      <c r="V113" s="24" t="s">
        <v>9</v>
      </c>
      <c r="W113" s="35">
        <f>+T74</f>
        <v>17.989999999999998</v>
      </c>
      <c r="X113" s="35"/>
      <c r="Y113" s="6" t="s">
        <v>10</v>
      </c>
      <c r="Z113" s="35">
        <f>+K87</f>
        <v>1.75</v>
      </c>
      <c r="AA113" s="35"/>
      <c r="AB113" s="24" t="s">
        <v>9</v>
      </c>
      <c r="AC113" s="35">
        <f>+D112</f>
        <v>2.2869232982018137</v>
      </c>
      <c r="AD113" s="35"/>
      <c r="AE113" s="6" t="s">
        <v>10</v>
      </c>
      <c r="AF113" s="6">
        <v>2</v>
      </c>
      <c r="AG113" s="24" t="s">
        <v>9</v>
      </c>
      <c r="AH113" s="35">
        <f>+D112</f>
        <v>2.2869232982018137</v>
      </c>
      <c r="AI113" s="35"/>
      <c r="AJ113" s="6" t="s">
        <v>10</v>
      </c>
      <c r="AK113" s="6">
        <v>3</v>
      </c>
      <c r="AL113" s="24" t="s">
        <v>8</v>
      </c>
      <c r="AM113" s="35">
        <f>+D82</f>
        <v>50</v>
      </c>
      <c r="AN113" s="35"/>
      <c r="AO113" s="24" t="s">
        <v>11</v>
      </c>
      <c r="AP113" s="35">
        <f>E113*H113-K113*N113*Q113^2-T113*W113/Z113*AC113/AF113*AH113/AK113-AM113</f>
        <v>23.489725000246665</v>
      </c>
      <c r="AQ113" s="35"/>
      <c r="AR113" s="6" t="s">
        <v>2</v>
      </c>
      <c r="AS113" s="18"/>
      <c r="AT113" s="18"/>
      <c r="AU113" s="23"/>
      <c r="AV113" s="18"/>
      <c r="AW113" s="18"/>
      <c r="AX113" s="18"/>
      <c r="AY113" s="21"/>
      <c r="BB113" s="5"/>
    </row>
    <row r="114" spans="1:54" x14ac:dyDescent="0.2">
      <c r="A114" s="21"/>
      <c r="B114" s="19"/>
      <c r="C114" s="18" t="s">
        <v>60</v>
      </c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21"/>
      <c r="AW114" s="21"/>
      <c r="AX114" s="21"/>
      <c r="AY114" s="21"/>
      <c r="AZ114" s="21"/>
      <c r="BA114" s="21"/>
      <c r="BB114" s="27"/>
    </row>
    <row r="115" spans="1:54" x14ac:dyDescent="0.2">
      <c r="B115" s="4"/>
      <c r="C115" s="6" t="s">
        <v>61</v>
      </c>
      <c r="D115" s="6"/>
      <c r="E115" s="35">
        <f>+Y86</f>
        <v>65.308750000000003</v>
      </c>
      <c r="F115" s="35"/>
      <c r="G115" s="24" t="s">
        <v>8</v>
      </c>
      <c r="H115" s="35">
        <f>+W75</f>
        <v>12.43</v>
      </c>
      <c r="I115" s="35"/>
      <c r="J115" s="24" t="s">
        <v>9</v>
      </c>
      <c r="K115" s="35">
        <f>+V87</f>
        <v>1.75</v>
      </c>
      <c r="L115" s="35"/>
      <c r="M115" s="24" t="s">
        <v>8</v>
      </c>
      <c r="N115" s="35">
        <f>+T74</f>
        <v>17.989999999999998</v>
      </c>
      <c r="O115" s="35"/>
      <c r="P115" s="24" t="s">
        <v>9</v>
      </c>
      <c r="Q115" s="35">
        <f>+V87</f>
        <v>1.75</v>
      </c>
      <c r="R115" s="35"/>
      <c r="S115" s="6" t="s">
        <v>10</v>
      </c>
      <c r="T115" s="6">
        <v>2</v>
      </c>
      <c r="U115" s="24" t="s">
        <v>11</v>
      </c>
      <c r="V115" s="35">
        <f>+E115-H115*K115-N115*Q115/T115</f>
        <v>27.815000000000005</v>
      </c>
      <c r="W115" s="35"/>
      <c r="X115" s="6" t="s">
        <v>4</v>
      </c>
      <c r="Y115" s="6"/>
      <c r="Z115" s="6"/>
      <c r="AA115" s="6"/>
      <c r="AB115" s="6"/>
      <c r="AG115" s="6"/>
      <c r="AH115" s="6"/>
      <c r="AI115" s="6"/>
      <c r="AJ115" s="6"/>
      <c r="AO115" s="6"/>
      <c r="AP115" s="6"/>
      <c r="AQ115" s="6"/>
      <c r="AR115" s="6"/>
      <c r="AS115" s="6"/>
      <c r="AT115" s="6"/>
      <c r="AU115" s="6"/>
      <c r="BB115" s="5"/>
    </row>
    <row r="116" spans="1:54" x14ac:dyDescent="0.2">
      <c r="B116" s="4"/>
      <c r="C116" s="6" t="s">
        <v>64</v>
      </c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BB116" s="5"/>
    </row>
    <row r="117" spans="1:54" x14ac:dyDescent="0.2">
      <c r="B117" s="4"/>
      <c r="C117" s="35">
        <f>+Y86</f>
        <v>65.308750000000003</v>
      </c>
      <c r="D117" s="35"/>
      <c r="E117" s="24" t="s">
        <v>8</v>
      </c>
      <c r="F117" s="35">
        <f>+W75</f>
        <v>12.43</v>
      </c>
      <c r="G117" s="35"/>
      <c r="H117" s="6" t="s">
        <v>52</v>
      </c>
      <c r="I117" s="6"/>
      <c r="J117" s="35">
        <f>+V87</f>
        <v>1.75</v>
      </c>
      <c r="K117" s="35"/>
      <c r="L117" s="24" t="s">
        <v>9</v>
      </c>
      <c r="M117" s="35">
        <f>+T74</f>
        <v>17.989999999999998</v>
      </c>
      <c r="N117" s="35"/>
      <c r="O117" s="6" t="s">
        <v>10</v>
      </c>
      <c r="P117" s="6">
        <v>2</v>
      </c>
      <c r="Q117" s="6" t="s">
        <v>53</v>
      </c>
      <c r="S117" s="38">
        <f>+V87</f>
        <v>1.75</v>
      </c>
      <c r="T117" s="38"/>
      <c r="U117" s="6" t="s">
        <v>54</v>
      </c>
      <c r="V117" s="35">
        <f>+T74</f>
        <v>17.989999999999998</v>
      </c>
      <c r="W117" s="35"/>
      <c r="X117" s="24" t="s">
        <v>11</v>
      </c>
      <c r="Y117" s="6">
        <v>0</v>
      </c>
      <c r="AA117" s="6"/>
      <c r="AB117" s="6"/>
      <c r="AC117" s="6"/>
      <c r="AD117" s="6"/>
      <c r="AE117" s="6"/>
      <c r="AF117" s="6"/>
      <c r="AG117" s="6"/>
      <c r="AJ117" s="6"/>
      <c r="AM117" s="6"/>
      <c r="AN117" s="6"/>
      <c r="AQ117" s="6"/>
      <c r="AR117" s="6"/>
      <c r="AS117" s="6"/>
      <c r="AT117" s="6"/>
      <c r="AU117" s="6"/>
      <c r="BB117" s="5"/>
    </row>
    <row r="118" spans="1:54" x14ac:dyDescent="0.2">
      <c r="B118" s="4"/>
      <c r="C118" s="35">
        <f>-F117-V117</f>
        <v>-30.419999999999998</v>
      </c>
      <c r="D118" s="35"/>
      <c r="E118" s="6" t="s">
        <v>13</v>
      </c>
      <c r="F118" s="6"/>
      <c r="G118" s="35">
        <f>+C117-J117*M117/P117+S117*V117</f>
        <v>81.05</v>
      </c>
      <c r="H118" s="35"/>
      <c r="I118" s="24" t="s">
        <v>11</v>
      </c>
      <c r="J118" s="6">
        <v>0</v>
      </c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BB118" s="5"/>
    </row>
    <row r="119" spans="1:54" x14ac:dyDescent="0.2">
      <c r="B119" s="4"/>
      <c r="C119" s="6" t="s">
        <v>15</v>
      </c>
      <c r="D119" s="35">
        <f>+G118/-C118</f>
        <v>2.6643655489809337</v>
      </c>
      <c r="E119" s="35"/>
      <c r="F119" s="6" t="s">
        <v>0</v>
      </c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BB119" s="5"/>
    </row>
    <row r="120" spans="1:54" x14ac:dyDescent="0.2">
      <c r="B120" s="4"/>
      <c r="C120" s="6" t="s">
        <v>18</v>
      </c>
      <c r="D120" s="6"/>
      <c r="E120" s="35">
        <f>+Y86</f>
        <v>65.308750000000003</v>
      </c>
      <c r="F120" s="35"/>
      <c r="G120" s="24" t="s">
        <v>9</v>
      </c>
      <c r="H120" s="35">
        <f>+D119</f>
        <v>2.6643655489809337</v>
      </c>
      <c r="I120" s="35"/>
      <c r="J120" s="24" t="s">
        <v>8</v>
      </c>
      <c r="K120" s="35">
        <v>0.5</v>
      </c>
      <c r="L120" s="35"/>
      <c r="M120" s="24" t="s">
        <v>9</v>
      </c>
      <c r="N120" s="35">
        <f>+W75</f>
        <v>12.43</v>
      </c>
      <c r="O120" s="35"/>
      <c r="P120" s="24" t="s">
        <v>9</v>
      </c>
      <c r="Q120" s="35">
        <f>+D119</f>
        <v>2.6643655489809337</v>
      </c>
      <c r="R120" s="35"/>
      <c r="S120" s="6" t="s">
        <v>17</v>
      </c>
      <c r="T120" s="35">
        <f>+V87</f>
        <v>1.75</v>
      </c>
      <c r="U120" s="35"/>
      <c r="V120" s="24" t="s">
        <v>9</v>
      </c>
      <c r="W120" s="35">
        <f>+T74</f>
        <v>17.989999999999998</v>
      </c>
      <c r="X120" s="35"/>
      <c r="Y120" s="6" t="s">
        <v>10</v>
      </c>
      <c r="Z120" s="6">
        <v>2</v>
      </c>
      <c r="AA120" s="24" t="s">
        <v>9</v>
      </c>
      <c r="AB120" s="35">
        <f>(D119-V87)+V87/3</f>
        <v>1.4976988823142672</v>
      </c>
      <c r="AC120" s="35"/>
      <c r="AD120" s="24" t="s">
        <v>8</v>
      </c>
      <c r="AE120" s="35">
        <f>+T74</f>
        <v>17.989999999999998</v>
      </c>
      <c r="AF120" s="35"/>
      <c r="AG120" s="24" t="s">
        <v>9</v>
      </c>
      <c r="AH120" s="35">
        <f>+D119-V87</f>
        <v>0.9143655489809337</v>
      </c>
      <c r="AI120" s="35"/>
      <c r="AJ120" s="6" t="s">
        <v>59</v>
      </c>
      <c r="AK120" s="6">
        <v>2</v>
      </c>
      <c r="AL120" s="25" t="s">
        <v>8</v>
      </c>
      <c r="AM120" s="35">
        <f>+AC82</f>
        <v>75</v>
      </c>
      <c r="AN120" s="35"/>
      <c r="AO120" s="24" t="s">
        <v>11</v>
      </c>
      <c r="AP120" s="37">
        <f>E120*H120-K120*N120*Q120^2-T120*W120/Z120*AB120-AE120*AH120^2/AK120-AM120</f>
        <v>23.79101803911901</v>
      </c>
      <c r="AQ120" s="37"/>
      <c r="AR120" s="6" t="s">
        <v>2</v>
      </c>
      <c r="AS120" s="6"/>
      <c r="AT120" s="6"/>
      <c r="AU120" s="24"/>
      <c r="AV120" s="6"/>
      <c r="AW120" s="6"/>
      <c r="AX120" s="6"/>
      <c r="BB120" s="5"/>
    </row>
    <row r="121" spans="1:54" x14ac:dyDescent="0.2">
      <c r="B121" s="4"/>
      <c r="C121" s="6" t="s">
        <v>65</v>
      </c>
      <c r="D121" s="6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6"/>
      <c r="T121" s="24"/>
      <c r="U121" s="24"/>
      <c r="V121" s="24"/>
      <c r="W121" s="24"/>
      <c r="X121" s="24"/>
      <c r="Y121" s="6"/>
      <c r="Z121" s="6"/>
      <c r="AA121" s="24"/>
      <c r="AB121" s="24"/>
      <c r="AC121" s="24"/>
      <c r="AD121" s="24"/>
      <c r="AE121" s="24"/>
      <c r="AF121" s="24"/>
      <c r="AG121" s="24"/>
      <c r="AH121" s="24"/>
      <c r="AI121" s="24"/>
      <c r="AJ121" s="6"/>
      <c r="AK121" s="6"/>
      <c r="AL121" s="24"/>
      <c r="AM121" s="24"/>
      <c r="AN121" s="24"/>
      <c r="AO121" s="24"/>
      <c r="AP121" s="24"/>
      <c r="AQ121" s="24"/>
      <c r="AR121" s="6"/>
      <c r="AS121" s="6"/>
      <c r="AT121" s="6"/>
      <c r="AU121" s="6"/>
      <c r="BB121" s="5"/>
    </row>
    <row r="122" spans="1:54" x14ac:dyDescent="0.2">
      <c r="B122" s="4"/>
      <c r="C122" s="35">
        <f>+Y86</f>
        <v>65.308750000000003</v>
      </c>
      <c r="D122" s="35"/>
      <c r="E122" s="24" t="s">
        <v>8</v>
      </c>
      <c r="F122" s="35">
        <f>+W75</f>
        <v>12.43</v>
      </c>
      <c r="G122" s="35"/>
      <c r="H122" s="6" t="s">
        <v>52</v>
      </c>
      <c r="I122" s="6"/>
      <c r="J122" s="35">
        <f>+T74</f>
        <v>17.989999999999998</v>
      </c>
      <c r="K122" s="35"/>
      <c r="L122" s="6" t="s">
        <v>57</v>
      </c>
      <c r="M122" s="6"/>
      <c r="N122" s="35">
        <f>+V87</f>
        <v>1.75</v>
      </c>
      <c r="O122" s="35"/>
      <c r="P122" s="6" t="s">
        <v>58</v>
      </c>
      <c r="Q122" s="6"/>
      <c r="R122" s="6">
        <v>2</v>
      </c>
      <c r="S122" s="24" t="s">
        <v>11</v>
      </c>
      <c r="T122" s="6">
        <v>0</v>
      </c>
      <c r="V122" s="6"/>
      <c r="W122" s="6"/>
      <c r="X122" s="6"/>
      <c r="Y122" s="6"/>
      <c r="AB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BB122" s="5"/>
    </row>
    <row r="123" spans="1:54" x14ac:dyDescent="0.2">
      <c r="B123" s="4"/>
      <c r="C123" s="35">
        <f>-J122/N122/R122</f>
        <v>-5.14</v>
      </c>
      <c r="D123" s="35"/>
      <c r="E123" s="6" t="s">
        <v>16</v>
      </c>
      <c r="F123" s="6"/>
      <c r="G123" s="35">
        <f>-F122</f>
        <v>-12.43</v>
      </c>
      <c r="H123" s="35"/>
      <c r="I123" s="13" t="s">
        <v>13</v>
      </c>
      <c r="K123" s="35">
        <f>+C122</f>
        <v>65.308750000000003</v>
      </c>
      <c r="L123" s="35"/>
      <c r="M123" s="24" t="s">
        <v>11</v>
      </c>
      <c r="N123" s="6">
        <v>0</v>
      </c>
      <c r="O123" s="6"/>
      <c r="P123" s="6"/>
      <c r="Q123" s="6"/>
      <c r="R123" s="6"/>
      <c r="S123" s="6"/>
      <c r="T123" s="6" t="s">
        <v>15</v>
      </c>
      <c r="U123" s="35">
        <f>(-G123+SQRT(G123^2-4*C123*K123))/(2*C123)</f>
        <v>-4.9731858958074433</v>
      </c>
      <c r="V123" s="35"/>
      <c r="W123" s="6" t="s">
        <v>0</v>
      </c>
      <c r="X123" s="6"/>
      <c r="Y123" s="6"/>
      <c r="Z123" s="6"/>
      <c r="AA123" s="6" t="s">
        <v>15</v>
      </c>
      <c r="AB123" s="35">
        <f>(-G123-SQRT(G123^2-4*C123*K123))/(2*C123)</f>
        <v>2.5548979580642524</v>
      </c>
      <c r="AC123" s="35"/>
      <c r="AD123" s="6" t="s">
        <v>0</v>
      </c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BB123" s="5"/>
    </row>
    <row r="124" spans="1:54" x14ac:dyDescent="0.2">
      <c r="B124" s="4"/>
      <c r="C124" s="6" t="s">
        <v>15</v>
      </c>
      <c r="D124" s="35">
        <f>IF(U123&gt;0,U123,IF(AB123&gt;0,AB123,"hatalı"))</f>
        <v>2.5548979580642524</v>
      </c>
      <c r="E124" s="35"/>
      <c r="F124" s="6" t="s">
        <v>0</v>
      </c>
      <c r="G124" s="6"/>
      <c r="H124" s="6"/>
      <c r="I124" s="24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P124" s="6"/>
      <c r="AQ124" s="6"/>
      <c r="AR124" s="6"/>
      <c r="AS124" s="6"/>
      <c r="AT124" s="6"/>
      <c r="AU124" s="6"/>
      <c r="BB124" s="5"/>
    </row>
    <row r="125" spans="1:54" x14ac:dyDescent="0.2">
      <c r="B125" s="4"/>
      <c r="C125" s="6" t="s">
        <v>18</v>
      </c>
      <c r="D125" s="6"/>
      <c r="E125" s="35">
        <f>+Y86</f>
        <v>65.308750000000003</v>
      </c>
      <c r="F125" s="35"/>
      <c r="G125" s="24" t="s">
        <v>9</v>
      </c>
      <c r="H125" s="35">
        <f>+D124</f>
        <v>2.5548979580642524</v>
      </c>
      <c r="I125" s="35"/>
      <c r="J125" s="24" t="s">
        <v>8</v>
      </c>
      <c r="K125" s="35">
        <v>0.5</v>
      </c>
      <c r="L125" s="35"/>
      <c r="M125" s="24" t="s">
        <v>9</v>
      </c>
      <c r="N125" s="35">
        <f>+W75</f>
        <v>12.43</v>
      </c>
      <c r="O125" s="35"/>
      <c r="P125" s="24" t="s">
        <v>9</v>
      </c>
      <c r="Q125" s="35">
        <f>+D124</f>
        <v>2.5548979580642524</v>
      </c>
      <c r="R125" s="35"/>
      <c r="S125" s="6" t="s">
        <v>17</v>
      </c>
      <c r="T125" s="35">
        <f>+D124</f>
        <v>2.5548979580642524</v>
      </c>
      <c r="U125" s="35"/>
      <c r="V125" s="24" t="s">
        <v>9</v>
      </c>
      <c r="W125" s="35">
        <f>+T74</f>
        <v>17.989999999999998</v>
      </c>
      <c r="X125" s="35"/>
      <c r="Y125" s="6" t="s">
        <v>10</v>
      </c>
      <c r="Z125" s="35">
        <f>+V87</f>
        <v>1.75</v>
      </c>
      <c r="AA125" s="35"/>
      <c r="AB125" s="24" t="s">
        <v>9</v>
      </c>
      <c r="AC125" s="35">
        <f>+D124</f>
        <v>2.5548979580642524</v>
      </c>
      <c r="AD125" s="35"/>
      <c r="AE125" s="6" t="s">
        <v>10</v>
      </c>
      <c r="AF125" s="6">
        <v>2</v>
      </c>
      <c r="AG125" s="24" t="s">
        <v>9</v>
      </c>
      <c r="AH125" s="35">
        <f>+D124</f>
        <v>2.5548979580642524</v>
      </c>
      <c r="AI125" s="35"/>
      <c r="AJ125" s="6" t="s">
        <v>10</v>
      </c>
      <c r="AK125" s="6">
        <v>3</v>
      </c>
      <c r="AL125" s="24" t="s">
        <v>8</v>
      </c>
      <c r="AM125" s="35">
        <f>+AC82</f>
        <v>75</v>
      </c>
      <c r="AN125" s="35"/>
      <c r="AO125" s="24" t="s">
        <v>11</v>
      </c>
      <c r="AP125" s="35">
        <f>E125*H125-K125*N125*Q125^2-T125*W125/Z125*AC125/AF125*AH125/AK125-AM125</f>
        <v>22.715316437288706</v>
      </c>
      <c r="AQ125" s="35"/>
      <c r="AR125" s="6" t="s">
        <v>2</v>
      </c>
      <c r="AS125" s="18"/>
      <c r="AT125" s="18"/>
      <c r="AU125" s="23"/>
      <c r="AV125" s="18"/>
      <c r="AW125" s="18"/>
      <c r="AX125" s="18"/>
      <c r="BB125" s="5"/>
    </row>
    <row r="126" spans="1:54" x14ac:dyDescent="0.2">
      <c r="B126" s="4"/>
      <c r="C126" s="6" t="s">
        <v>36</v>
      </c>
      <c r="D126" s="6"/>
      <c r="E126" s="24"/>
      <c r="F126" s="24"/>
      <c r="G126" s="13"/>
      <c r="H126" s="24"/>
      <c r="I126" s="36">
        <f>IF(OR(AND(I86&lt;=Y86,V103&gt;0,I86&gt;0),AND(I86&lt;=Y86,V103&lt;0,I86&lt;0)),AP108,IF(OR(AND(I86&lt;=Y86,V103&lt;0,I86&gt;0),AND(I86&lt;=Y86,V103&gt;0,I86&lt;0)),AP113,IF(OR(AND(I86&gt;Y86,V115&gt;0,Y86&gt;0),AND(I86&gt;Y86,V115&lt;0,Y86&lt;0)),AP120,IF(OR(AND(I86&gt;Y86,V115&lt;0,Y86&gt;0),AND(I86&gt;Y86,V115&gt;0,Y86&lt;0)),AP125,"HATALI"))))</f>
        <v>23.79101803911901</v>
      </c>
      <c r="J126" s="36"/>
      <c r="K126" s="36"/>
      <c r="L126" s="11" t="s">
        <v>2</v>
      </c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5"/>
    </row>
    <row r="127" spans="1:54" x14ac:dyDescent="0.2">
      <c r="B127" s="4"/>
      <c r="C127" s="6" t="s">
        <v>28</v>
      </c>
      <c r="D127" s="6"/>
      <c r="E127" s="24"/>
      <c r="F127" s="24"/>
      <c r="G127" s="13"/>
      <c r="H127" s="24"/>
      <c r="I127" s="14" t="str">
        <f>IF(I86&lt;=Y86,"sol mesnetten","sağ mesnetten")</f>
        <v>sol mesnetten</v>
      </c>
      <c r="J127" s="6"/>
      <c r="K127" s="6"/>
      <c r="L127" s="6"/>
      <c r="M127" s="6"/>
      <c r="N127" s="11" t="s">
        <v>15</v>
      </c>
      <c r="O127" s="36">
        <f>IF(OR(AND(I86&lt;=Y86,V103&gt;0,I86&gt;0),AND(I86&lt;=Y86,V103&lt;0,I86&lt;0)),D107,IF(OR(AND(I86&lt;=Y86,V103&lt;0,I86&gt;0),AND(I86&lt;=Y86,V103&gt;0,I86&lt;0)),D112,IF(OR(AND(I86&gt;Y86,V115&gt;0,Y86&gt;0),AND(I86&gt;Y86,V115&lt;0,Y86&lt;0)),D119,IF(OR(AND(I86&gt;Y86,V115&lt;0,Y86&gt;0),AND(I86&gt;Y86,V115&gt;0,Y86&lt;0)),D124,"HATALI"))))</f>
        <v>2.3356344510190663</v>
      </c>
      <c r="P127" s="36"/>
      <c r="Q127" s="36"/>
      <c r="R127" s="6" t="s">
        <v>37</v>
      </c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5"/>
    </row>
    <row r="128" spans="1:54" x14ac:dyDescent="0.2">
      <c r="B128" s="4"/>
      <c r="C128" s="9" t="s">
        <v>31</v>
      </c>
      <c r="D128" s="6"/>
      <c r="E128" s="24"/>
      <c r="F128" s="24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5"/>
    </row>
    <row r="129" spans="2:54" x14ac:dyDescent="0.2">
      <c r="B129" s="4"/>
      <c r="C129" s="6" t="s">
        <v>24</v>
      </c>
      <c r="D129" s="6"/>
      <c r="E129" s="35">
        <f>+I86</f>
        <v>55.308749999999996</v>
      </c>
      <c r="F129" s="35"/>
      <c r="G129" s="24" t="s">
        <v>8</v>
      </c>
      <c r="H129" s="35">
        <f>+W75</f>
        <v>12.43</v>
      </c>
      <c r="I129" s="35"/>
      <c r="J129" s="24" t="s">
        <v>9</v>
      </c>
      <c r="K129" s="35">
        <f>+I91/2</f>
        <v>0.25</v>
      </c>
      <c r="L129" s="35"/>
      <c r="M129" s="24" t="s">
        <v>8</v>
      </c>
      <c r="N129" s="35">
        <f>I91/2</f>
        <v>0.25</v>
      </c>
      <c r="O129" s="35"/>
      <c r="P129" s="24" t="s">
        <v>9</v>
      </c>
      <c r="Q129" s="35">
        <f>+T74</f>
        <v>17.989999999999998</v>
      </c>
      <c r="R129" s="35"/>
      <c r="S129" s="6" t="s">
        <v>10</v>
      </c>
      <c r="T129" s="35">
        <f>+K87</f>
        <v>1.75</v>
      </c>
      <c r="U129" s="35"/>
      <c r="V129" s="24" t="s">
        <v>9</v>
      </c>
      <c r="W129" s="35">
        <f>+I91/2</f>
        <v>0.25</v>
      </c>
      <c r="X129" s="35"/>
      <c r="Y129" s="6" t="s">
        <v>10</v>
      </c>
      <c r="Z129" s="6">
        <v>2</v>
      </c>
      <c r="AA129" s="24"/>
      <c r="AB129" s="6"/>
      <c r="AC129" s="6"/>
      <c r="AD129" s="24"/>
      <c r="AE129" s="6"/>
      <c r="AF129" s="6"/>
      <c r="AG129" s="6"/>
      <c r="AH129" s="6"/>
      <c r="AI129" s="6"/>
      <c r="AJ129" s="24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5"/>
    </row>
    <row r="130" spans="2:54" x14ac:dyDescent="0.2">
      <c r="B130" s="4"/>
      <c r="C130" s="14" t="s">
        <v>24</v>
      </c>
      <c r="D130" s="11"/>
      <c r="E130" s="36">
        <f>+E129-H129*K129-N129*Q129/T129*W129/Z129</f>
        <v>51.879999999999995</v>
      </c>
      <c r="F130" s="36"/>
      <c r="G130" s="36"/>
      <c r="H130" s="11" t="s">
        <v>4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5"/>
    </row>
    <row r="131" spans="2:54" x14ac:dyDescent="0.2">
      <c r="B131" s="4"/>
      <c r="C131" s="9" t="s">
        <v>32</v>
      </c>
      <c r="D131" s="6"/>
      <c r="E131" s="24"/>
      <c r="F131" s="24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5"/>
    </row>
    <row r="132" spans="2:54" x14ac:dyDescent="0.2">
      <c r="B132" s="4"/>
      <c r="C132" s="6" t="s">
        <v>25</v>
      </c>
      <c r="D132" s="6"/>
      <c r="E132" s="6"/>
      <c r="F132" s="35">
        <f>+Y86</f>
        <v>65.308750000000003</v>
      </c>
      <c r="G132" s="35"/>
      <c r="H132" s="24" t="s">
        <v>8</v>
      </c>
      <c r="I132" s="35">
        <f>+W75</f>
        <v>12.43</v>
      </c>
      <c r="J132" s="35"/>
      <c r="K132" s="24" t="s">
        <v>9</v>
      </c>
      <c r="L132" s="35">
        <f>+Y91/2</f>
        <v>0.3</v>
      </c>
      <c r="M132" s="35"/>
      <c r="N132" s="24" t="s">
        <v>8</v>
      </c>
      <c r="O132" s="35">
        <f>+Y91/2</f>
        <v>0.3</v>
      </c>
      <c r="P132" s="35"/>
      <c r="Q132" s="24" t="s">
        <v>9</v>
      </c>
      <c r="R132" s="35">
        <f>+T74</f>
        <v>17.989999999999998</v>
      </c>
      <c r="S132" s="35"/>
      <c r="T132" s="6" t="s">
        <v>10</v>
      </c>
      <c r="U132" s="35">
        <f>+V87</f>
        <v>1.75</v>
      </c>
      <c r="V132" s="35"/>
      <c r="W132" s="24" t="s">
        <v>9</v>
      </c>
      <c r="X132" s="35">
        <f>+Y91/2</f>
        <v>0.3</v>
      </c>
      <c r="Y132" s="35"/>
      <c r="Z132" s="6" t="s">
        <v>10</v>
      </c>
      <c r="AA132" s="6">
        <v>2</v>
      </c>
      <c r="AB132" s="24"/>
      <c r="AC132" s="6"/>
      <c r="AD132" s="6"/>
      <c r="AE132" s="24"/>
      <c r="AF132" s="6"/>
      <c r="AG132" s="6"/>
      <c r="AH132" s="6"/>
      <c r="AI132" s="6"/>
      <c r="AJ132" s="6"/>
      <c r="AK132" s="24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5"/>
    </row>
    <row r="133" spans="2:54" x14ac:dyDescent="0.2">
      <c r="B133" s="4"/>
      <c r="C133" s="14" t="s">
        <v>25</v>
      </c>
      <c r="D133" s="11"/>
      <c r="E133" s="11"/>
      <c r="F133" s="36">
        <f>+F132-I132*L132-O132*R132/U132*X132/AA132</f>
        <v>61.117150000000002</v>
      </c>
      <c r="G133" s="36"/>
      <c r="H133" s="36"/>
      <c r="I133" s="11" t="s">
        <v>4</v>
      </c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5"/>
    </row>
    <row r="134" spans="2:54" x14ac:dyDescent="0.2">
      <c r="B134" s="4"/>
      <c r="C134" s="9" t="s">
        <v>33</v>
      </c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5"/>
    </row>
    <row r="135" spans="2:54" x14ac:dyDescent="0.2">
      <c r="B135" s="4"/>
      <c r="C135" s="6" t="s">
        <v>24</v>
      </c>
      <c r="D135" s="6"/>
      <c r="E135" s="35">
        <f>+I86</f>
        <v>55.308749999999996</v>
      </c>
      <c r="F135" s="35"/>
      <c r="G135" s="24" t="s">
        <v>8</v>
      </c>
      <c r="H135" s="35">
        <f>+W75</f>
        <v>12.43</v>
      </c>
      <c r="I135" s="35"/>
      <c r="J135" s="24" t="s">
        <v>9</v>
      </c>
      <c r="K135" s="35">
        <f>+I91/2+AQ81</f>
        <v>0.81</v>
      </c>
      <c r="L135" s="35"/>
      <c r="M135" s="24" t="s">
        <v>8</v>
      </c>
      <c r="N135" s="35">
        <f>+I91/2+AQ81</f>
        <v>0.81</v>
      </c>
      <c r="O135" s="35"/>
      <c r="P135" s="24" t="s">
        <v>9</v>
      </c>
      <c r="Q135" s="35">
        <f>+T74</f>
        <v>17.989999999999998</v>
      </c>
      <c r="R135" s="35"/>
      <c r="S135" s="6" t="s">
        <v>10</v>
      </c>
      <c r="T135" s="35">
        <f>+K87</f>
        <v>1.75</v>
      </c>
      <c r="U135" s="35"/>
      <c r="V135" s="24" t="s">
        <v>9</v>
      </c>
      <c r="W135" s="35">
        <f>+I91/2+AQ81</f>
        <v>0.81</v>
      </c>
      <c r="X135" s="35"/>
      <c r="Y135" s="6" t="s">
        <v>10</v>
      </c>
      <c r="Z135" s="6">
        <v>2</v>
      </c>
      <c r="AA135" s="33" t="s">
        <v>11</v>
      </c>
      <c r="AB135" s="35">
        <f>+E135-H135*K135-N135*Q135/T135*W135/Z135</f>
        <v>41.868095999999994</v>
      </c>
      <c r="AC135" s="35"/>
      <c r="AD135" s="35"/>
      <c r="AE135" s="6" t="s">
        <v>4</v>
      </c>
      <c r="AF135" s="6"/>
      <c r="AG135" s="6"/>
      <c r="AH135" s="6"/>
      <c r="AI135" s="6"/>
      <c r="AJ135" s="24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5"/>
    </row>
    <row r="136" spans="2:54" x14ac:dyDescent="0.2">
      <c r="B136" s="4"/>
      <c r="C136" s="6" t="s">
        <v>24</v>
      </c>
      <c r="D136" s="6"/>
      <c r="E136" s="35">
        <f>+I86</f>
        <v>55.308749999999996</v>
      </c>
      <c r="F136" s="35"/>
      <c r="G136" s="33" t="s">
        <v>8</v>
      </c>
      <c r="H136" s="35">
        <f>+W75</f>
        <v>12.43</v>
      </c>
      <c r="I136" s="35"/>
      <c r="J136" s="33" t="s">
        <v>9</v>
      </c>
      <c r="K136" s="35">
        <f>+I91/2+AQ81</f>
        <v>0.81</v>
      </c>
      <c r="L136" s="35"/>
      <c r="M136" s="33" t="s">
        <v>8</v>
      </c>
      <c r="N136" s="35">
        <f>+K87</f>
        <v>1.75</v>
      </c>
      <c r="O136" s="35"/>
      <c r="P136" s="33" t="s">
        <v>9</v>
      </c>
      <c r="Q136" s="35">
        <f>+T74</f>
        <v>17.989999999999998</v>
      </c>
      <c r="R136" s="35"/>
      <c r="S136" s="6" t="s">
        <v>10</v>
      </c>
      <c r="T136" s="6">
        <v>2</v>
      </c>
      <c r="U136" s="33" t="s">
        <v>8</v>
      </c>
      <c r="V136" s="35">
        <f>+I91/2+AQ81-K87</f>
        <v>-0.94</v>
      </c>
      <c r="W136" s="35"/>
      <c r="X136" s="34" t="s">
        <v>9</v>
      </c>
      <c r="Y136" s="35">
        <f>+T74</f>
        <v>17.989999999999998</v>
      </c>
      <c r="Z136" s="35"/>
      <c r="AA136" s="33" t="s">
        <v>11</v>
      </c>
      <c r="AB136" s="35">
        <f>+E136-H136*K136-N136*Q136/T136-V136*Y136</f>
        <v>46.40979999999999</v>
      </c>
      <c r="AC136" s="35"/>
      <c r="AD136" s="35"/>
      <c r="AE136" s="6" t="s">
        <v>4</v>
      </c>
      <c r="AF136" s="6"/>
      <c r="AG136" s="6"/>
      <c r="AH136" s="6"/>
      <c r="AI136" s="6"/>
      <c r="AJ136" s="33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5"/>
    </row>
    <row r="137" spans="2:54" x14ac:dyDescent="0.2">
      <c r="B137" s="4"/>
      <c r="C137" s="14" t="s">
        <v>77</v>
      </c>
      <c r="E137" s="6"/>
      <c r="F137" s="6"/>
      <c r="H137" s="11"/>
      <c r="I137" s="36">
        <f>IF((I91/2+AQ81)&lt;=K87,AB135,AB136)</f>
        <v>41.868095999999994</v>
      </c>
      <c r="J137" s="36"/>
      <c r="K137" s="36"/>
      <c r="L137" s="11" t="s">
        <v>4</v>
      </c>
      <c r="M137" s="6"/>
      <c r="N137" s="6"/>
      <c r="O137" s="6"/>
      <c r="Z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5"/>
    </row>
    <row r="138" spans="2:54" x14ac:dyDescent="0.2">
      <c r="B138" s="4"/>
      <c r="C138" s="9" t="s">
        <v>34</v>
      </c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5"/>
    </row>
    <row r="139" spans="2:54" x14ac:dyDescent="0.2">
      <c r="B139" s="4"/>
      <c r="C139" s="6" t="s">
        <v>25</v>
      </c>
      <c r="D139" s="6"/>
      <c r="E139" s="6"/>
      <c r="F139" s="35">
        <f>+Y86</f>
        <v>65.308750000000003</v>
      </c>
      <c r="G139" s="35"/>
      <c r="H139" s="24" t="s">
        <v>8</v>
      </c>
      <c r="I139" s="35">
        <f>+W75</f>
        <v>12.43</v>
      </c>
      <c r="J139" s="35"/>
      <c r="K139" s="24" t="s">
        <v>9</v>
      </c>
      <c r="L139" s="35">
        <f>+Y91/2+AQ81</f>
        <v>0.8600000000000001</v>
      </c>
      <c r="M139" s="35"/>
      <c r="N139" s="24" t="s">
        <v>8</v>
      </c>
      <c r="O139" s="35">
        <f>+Y91/2+AQ81</f>
        <v>0.8600000000000001</v>
      </c>
      <c r="P139" s="35"/>
      <c r="Q139" s="24" t="s">
        <v>9</v>
      </c>
      <c r="R139" s="35">
        <f>+T74</f>
        <v>17.989999999999998</v>
      </c>
      <c r="S139" s="35"/>
      <c r="T139" s="6" t="s">
        <v>10</v>
      </c>
      <c r="U139" s="35">
        <f>+V87</f>
        <v>1.75</v>
      </c>
      <c r="V139" s="35"/>
      <c r="W139" s="24" t="s">
        <v>9</v>
      </c>
      <c r="X139" s="35">
        <f>+Y91/2+AQ81</f>
        <v>0.8600000000000001</v>
      </c>
      <c r="Y139" s="35"/>
      <c r="Z139" s="6" t="s">
        <v>10</v>
      </c>
      <c r="AA139" s="6">
        <v>2</v>
      </c>
      <c r="AB139" s="33" t="s">
        <v>11</v>
      </c>
      <c r="AC139" s="35">
        <f>+F139-I139*L139-O139*R139/U139*X139/AA139</f>
        <v>50.817405999999998</v>
      </c>
      <c r="AD139" s="35"/>
      <c r="AE139" s="35"/>
      <c r="AF139" s="6" t="s">
        <v>4</v>
      </c>
      <c r="AG139" s="6"/>
      <c r="AH139" s="6"/>
      <c r="AI139" s="6"/>
      <c r="AJ139" s="6"/>
      <c r="AK139" s="24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5"/>
    </row>
    <row r="140" spans="2:54" x14ac:dyDescent="0.2">
      <c r="B140" s="4"/>
      <c r="C140" s="6" t="s">
        <v>25</v>
      </c>
      <c r="D140" s="6"/>
      <c r="E140" s="6"/>
      <c r="F140" s="35">
        <f>+Y86</f>
        <v>65.308750000000003</v>
      </c>
      <c r="G140" s="35"/>
      <c r="H140" s="33" t="s">
        <v>8</v>
      </c>
      <c r="I140" s="35">
        <f>+W75</f>
        <v>12.43</v>
      </c>
      <c r="J140" s="35"/>
      <c r="K140" s="33" t="s">
        <v>9</v>
      </c>
      <c r="L140" s="35">
        <f>+Y91/2+AQ81</f>
        <v>0.8600000000000001</v>
      </c>
      <c r="M140" s="35"/>
      <c r="N140" s="33" t="s">
        <v>8</v>
      </c>
      <c r="O140" s="35">
        <f>+V87</f>
        <v>1.75</v>
      </c>
      <c r="P140" s="35"/>
      <c r="Q140" s="33" t="s">
        <v>9</v>
      </c>
      <c r="R140" s="35">
        <f>+T74</f>
        <v>17.989999999999998</v>
      </c>
      <c r="S140" s="35"/>
      <c r="T140" s="6" t="s">
        <v>10</v>
      </c>
      <c r="U140" s="6">
        <v>2</v>
      </c>
      <c r="V140" s="33" t="s">
        <v>8</v>
      </c>
      <c r="W140" s="35">
        <f>+Y91/2+AQ81-V87</f>
        <v>-0.8899999999999999</v>
      </c>
      <c r="X140" s="35"/>
      <c r="Y140" s="34" t="s">
        <v>9</v>
      </c>
      <c r="Z140" s="35">
        <f>+T74</f>
        <v>17.989999999999998</v>
      </c>
      <c r="AA140" s="35"/>
      <c r="AB140" s="33" t="s">
        <v>11</v>
      </c>
      <c r="AC140" s="35">
        <f>+F140-I140*L140-O140*R140/U140-W140*Z140</f>
        <v>54.888799999999989</v>
      </c>
      <c r="AD140" s="35"/>
      <c r="AE140" s="35"/>
      <c r="AF140" s="6" t="s">
        <v>4</v>
      </c>
      <c r="AG140" s="6"/>
      <c r="AH140" s="6"/>
      <c r="AI140" s="6"/>
      <c r="AJ140" s="6"/>
      <c r="AK140" s="33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5"/>
    </row>
    <row r="141" spans="2:54" x14ac:dyDescent="0.2">
      <c r="B141" s="4"/>
      <c r="C141" s="14" t="s">
        <v>78</v>
      </c>
      <c r="D141" s="6"/>
      <c r="E141" s="6"/>
      <c r="I141" s="36">
        <f>IF((Y91/2+AQ81)&lt;=V87,AC139,AC140)</f>
        <v>50.817405999999998</v>
      </c>
      <c r="J141" s="36"/>
      <c r="K141" s="36"/>
      <c r="L141" s="11" t="s">
        <v>4</v>
      </c>
      <c r="M141" s="6"/>
      <c r="N141" s="6"/>
      <c r="O141" s="6"/>
      <c r="P141" s="6"/>
      <c r="Q141" s="6"/>
      <c r="R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5"/>
    </row>
    <row r="142" spans="2:54" x14ac:dyDescent="0.2">
      <c r="B142" s="4"/>
      <c r="C142" s="9" t="s">
        <v>38</v>
      </c>
      <c r="D142" s="6"/>
      <c r="E142" s="24"/>
      <c r="F142" s="24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5"/>
    </row>
    <row r="143" spans="2:54" x14ac:dyDescent="0.2">
      <c r="B143" s="4"/>
      <c r="C143" s="6" t="s">
        <v>39</v>
      </c>
      <c r="D143" s="6"/>
      <c r="E143" s="35">
        <f>-I86</f>
        <v>-55.308749999999996</v>
      </c>
      <c r="F143" s="35"/>
      <c r="G143" s="24" t="s">
        <v>9</v>
      </c>
      <c r="H143" s="35">
        <f>+I91/2</f>
        <v>0.25</v>
      </c>
      <c r="I143" s="35"/>
      <c r="J143" s="24" t="s">
        <v>7</v>
      </c>
      <c r="K143" s="35">
        <f>+W75</f>
        <v>12.43</v>
      </c>
      <c r="L143" s="35"/>
      <c r="M143" s="24" t="s">
        <v>9</v>
      </c>
      <c r="N143" s="35">
        <f>+I91/2</f>
        <v>0.25</v>
      </c>
      <c r="O143" s="35"/>
      <c r="P143" s="24" t="s">
        <v>9</v>
      </c>
      <c r="Q143" s="35">
        <f>+N143/2</f>
        <v>0.125</v>
      </c>
      <c r="R143" s="35"/>
      <c r="S143" s="24" t="s">
        <v>7</v>
      </c>
      <c r="T143" s="35">
        <f>+T74</f>
        <v>17.989999999999998</v>
      </c>
      <c r="U143" s="35"/>
      <c r="V143" s="24" t="s">
        <v>9</v>
      </c>
      <c r="W143" s="35">
        <f>+I91/2</f>
        <v>0.25</v>
      </c>
      <c r="X143" s="35"/>
      <c r="Y143" s="6" t="s">
        <v>10</v>
      </c>
      <c r="Z143" s="35">
        <f>+K87</f>
        <v>1.75</v>
      </c>
      <c r="AA143" s="35"/>
      <c r="AB143" s="24" t="s">
        <v>9</v>
      </c>
      <c r="AC143" s="35">
        <f>+I91/2</f>
        <v>0.25</v>
      </c>
      <c r="AD143" s="35"/>
      <c r="AE143" s="6" t="s">
        <v>10</v>
      </c>
      <c r="AF143" s="6">
        <v>2</v>
      </c>
      <c r="AG143" s="24" t="s">
        <v>9</v>
      </c>
      <c r="AH143" s="6">
        <v>2</v>
      </c>
      <c r="AI143" s="24" t="s">
        <v>9</v>
      </c>
      <c r="AJ143" s="35">
        <f>+I91/2</f>
        <v>0.25</v>
      </c>
      <c r="AK143" s="35"/>
      <c r="AL143" s="6" t="s">
        <v>10</v>
      </c>
      <c r="AM143" s="6">
        <v>3</v>
      </c>
      <c r="AN143" s="24" t="s">
        <v>7</v>
      </c>
      <c r="AO143" s="35">
        <f>+D82</f>
        <v>50</v>
      </c>
      <c r="AP143" s="35"/>
      <c r="AQ143" s="24" t="s">
        <v>11</v>
      </c>
      <c r="AR143" s="36">
        <f>+E143*H143+K143*N143*Q143+T143*W143/Z143*AC143/AF143*AH143*AJ143/AM143+AO143</f>
        <v>36.614791666666669</v>
      </c>
      <c r="AS143" s="36"/>
      <c r="AT143" s="36"/>
      <c r="AU143" s="11" t="s">
        <v>2</v>
      </c>
      <c r="AV143" s="6"/>
      <c r="AW143" s="24"/>
      <c r="AX143" s="6"/>
      <c r="AY143" s="6"/>
      <c r="AZ143" s="6"/>
      <c r="BA143" s="6"/>
      <c r="BB143" s="5"/>
    </row>
    <row r="144" spans="2:54" x14ac:dyDescent="0.2">
      <c r="B144" s="4"/>
      <c r="C144" s="9" t="s">
        <v>40</v>
      </c>
      <c r="D144" s="11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5"/>
    </row>
    <row r="145" spans="2:54" x14ac:dyDescent="0.2">
      <c r="B145" s="4"/>
      <c r="C145" s="6" t="s">
        <v>70</v>
      </c>
      <c r="D145" s="6"/>
      <c r="F145" s="35">
        <f>-Y86</f>
        <v>-65.308750000000003</v>
      </c>
      <c r="G145" s="35"/>
      <c r="H145" s="24" t="s">
        <v>9</v>
      </c>
      <c r="I145" s="35">
        <f>+Y91/2</f>
        <v>0.3</v>
      </c>
      <c r="J145" s="35"/>
      <c r="K145" s="24" t="s">
        <v>7</v>
      </c>
      <c r="L145" s="35">
        <f>+W75</f>
        <v>12.43</v>
      </c>
      <c r="M145" s="35"/>
      <c r="N145" s="24" t="s">
        <v>9</v>
      </c>
      <c r="O145" s="35">
        <f>+Y91/2</f>
        <v>0.3</v>
      </c>
      <c r="P145" s="35"/>
      <c r="Q145" s="24" t="s">
        <v>9</v>
      </c>
      <c r="R145" s="35">
        <f>+O145/2</f>
        <v>0.15</v>
      </c>
      <c r="S145" s="35"/>
      <c r="T145" s="24" t="s">
        <v>7</v>
      </c>
      <c r="U145" s="35">
        <f>+T74</f>
        <v>17.989999999999998</v>
      </c>
      <c r="V145" s="35"/>
      <c r="W145" s="24" t="s">
        <v>9</v>
      </c>
      <c r="X145" s="35">
        <f>+Y91/2</f>
        <v>0.3</v>
      </c>
      <c r="Y145" s="35"/>
      <c r="Z145" s="6" t="s">
        <v>10</v>
      </c>
      <c r="AA145" s="35">
        <f>+V87</f>
        <v>1.75</v>
      </c>
      <c r="AB145" s="35"/>
      <c r="AC145" s="24" t="s">
        <v>9</v>
      </c>
      <c r="AD145" s="35">
        <f>+Y91/2</f>
        <v>0.3</v>
      </c>
      <c r="AE145" s="35"/>
      <c r="AF145" s="6" t="s">
        <v>10</v>
      </c>
      <c r="AG145" s="6">
        <v>2</v>
      </c>
      <c r="AH145" s="24" t="s">
        <v>9</v>
      </c>
      <c r="AI145" s="6">
        <v>2</v>
      </c>
      <c r="AJ145" s="24" t="s">
        <v>9</v>
      </c>
      <c r="AK145" s="35">
        <f>+Y91/2</f>
        <v>0.3</v>
      </c>
      <c r="AL145" s="35"/>
      <c r="AM145" s="6" t="s">
        <v>10</v>
      </c>
      <c r="AN145" s="6">
        <v>3</v>
      </c>
      <c r="AO145" s="24" t="s">
        <v>7</v>
      </c>
      <c r="AP145" s="35">
        <f>+AC82</f>
        <v>75</v>
      </c>
      <c r="AQ145" s="35"/>
      <c r="AR145" s="24" t="s">
        <v>11</v>
      </c>
      <c r="AS145" s="36">
        <f>+F145*I145+L145*O145*R145+U145*X145/AA145*AD145/AG145*AI145*AK145/AN145+AP145</f>
        <v>56.059244999999997</v>
      </c>
      <c r="AT145" s="36"/>
      <c r="AU145" s="36"/>
      <c r="AV145" s="11" t="s">
        <v>2</v>
      </c>
      <c r="AW145" s="6"/>
      <c r="AX145" s="6"/>
      <c r="AY145" s="6"/>
      <c r="AZ145" s="6"/>
      <c r="BA145" s="6"/>
      <c r="BB145" s="5"/>
    </row>
    <row r="146" spans="2:54" x14ac:dyDescent="0.2">
      <c r="B146" s="4"/>
      <c r="C146" s="9" t="s">
        <v>41</v>
      </c>
      <c r="D146" s="6"/>
      <c r="E146" s="24"/>
      <c r="F146" s="24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5"/>
    </row>
    <row r="147" spans="2:54" x14ac:dyDescent="0.2">
      <c r="B147" s="4"/>
      <c r="C147" s="6" t="s">
        <v>42</v>
      </c>
      <c r="D147" s="6"/>
      <c r="E147" s="24"/>
      <c r="F147" s="24"/>
      <c r="G147" s="6"/>
      <c r="H147" s="6"/>
      <c r="I147" s="6"/>
      <c r="J147" s="35">
        <f>+D82</f>
        <v>50</v>
      </c>
      <c r="K147" s="35"/>
      <c r="L147" s="24" t="s">
        <v>8</v>
      </c>
      <c r="M147" s="35">
        <f>+I86</f>
        <v>55.308749999999996</v>
      </c>
      <c r="N147" s="35"/>
      <c r="O147" s="24" t="s">
        <v>9</v>
      </c>
      <c r="P147" s="35">
        <f>+I91</f>
        <v>0.5</v>
      </c>
      <c r="Q147" s="35"/>
      <c r="R147" s="6" t="s">
        <v>10</v>
      </c>
      <c r="S147" s="6">
        <v>3</v>
      </c>
      <c r="T147" s="24" t="s">
        <v>11</v>
      </c>
      <c r="U147" s="36">
        <f>+J147-M147*P147/S147</f>
        <v>40.781874999999999</v>
      </c>
      <c r="V147" s="36"/>
      <c r="W147" s="36"/>
      <c r="X147" s="11" t="s">
        <v>2</v>
      </c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5"/>
    </row>
    <row r="148" spans="2:54" x14ac:dyDescent="0.2">
      <c r="B148" s="4"/>
      <c r="C148" s="9" t="s">
        <v>69</v>
      </c>
      <c r="D148" s="6"/>
      <c r="E148" s="24"/>
      <c r="F148" s="24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5"/>
    </row>
    <row r="149" spans="2:54" x14ac:dyDescent="0.2">
      <c r="B149" s="4"/>
      <c r="C149" s="6" t="s">
        <v>45</v>
      </c>
      <c r="D149" s="6"/>
      <c r="E149" s="24"/>
      <c r="F149" s="24"/>
      <c r="G149" s="6"/>
      <c r="H149" s="6"/>
      <c r="I149" s="6"/>
      <c r="J149" s="35">
        <f>+AC82</f>
        <v>75</v>
      </c>
      <c r="K149" s="35"/>
      <c r="L149" s="24" t="s">
        <v>8</v>
      </c>
      <c r="M149" s="35">
        <f>+Y86</f>
        <v>65.308750000000003</v>
      </c>
      <c r="N149" s="35"/>
      <c r="O149" s="24" t="s">
        <v>9</v>
      </c>
      <c r="P149" s="35">
        <f>+Y91</f>
        <v>0.6</v>
      </c>
      <c r="Q149" s="35"/>
      <c r="R149" s="6" t="s">
        <v>10</v>
      </c>
      <c r="S149" s="6">
        <v>3</v>
      </c>
      <c r="T149" s="24" t="s">
        <v>11</v>
      </c>
      <c r="U149" s="36">
        <f>+J149-M149*P149/S149</f>
        <v>61.938249999999996</v>
      </c>
      <c r="V149" s="36"/>
      <c r="W149" s="36"/>
      <c r="X149" s="11" t="s">
        <v>2</v>
      </c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5"/>
    </row>
    <row r="150" spans="2:54" x14ac:dyDescent="0.2">
      <c r="B150" s="4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5"/>
    </row>
    <row r="151" spans="2:54" ht="12.75" x14ac:dyDescent="0.2">
      <c r="B151" s="4"/>
      <c r="C151" s="6"/>
      <c r="D151" s="6"/>
      <c r="E151" s="6"/>
      <c r="F151" s="6"/>
      <c r="G151" s="15" t="s">
        <v>71</v>
      </c>
      <c r="H151" s="6"/>
      <c r="I151" s="6"/>
      <c r="J151" s="6"/>
      <c r="K151" s="10"/>
      <c r="L151" s="10"/>
      <c r="M151" s="6"/>
      <c r="N151" s="6"/>
      <c r="O151" s="6"/>
      <c r="P151" s="10"/>
      <c r="Q151" s="10"/>
      <c r="R151" s="10"/>
      <c r="S151" s="10"/>
      <c r="T151" s="10"/>
      <c r="U151" s="10"/>
      <c r="V151" s="10"/>
      <c r="W151" s="10"/>
      <c r="X151" s="6"/>
      <c r="Y151" s="6"/>
      <c r="Z151" s="10"/>
      <c r="AA151" s="10"/>
      <c r="AB151" s="10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5"/>
    </row>
    <row r="152" spans="2:54" ht="11.25" customHeight="1" x14ac:dyDescent="0.2">
      <c r="B152" s="4"/>
      <c r="C152" s="6"/>
      <c r="D152" s="6"/>
      <c r="E152" s="6"/>
      <c r="F152" s="6"/>
      <c r="G152" s="15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41">
        <v>11.39</v>
      </c>
      <c r="U152" s="41"/>
      <c r="V152" s="6" t="s">
        <v>1</v>
      </c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5"/>
    </row>
    <row r="153" spans="2:54" ht="11.25" customHeight="1" x14ac:dyDescent="0.2">
      <c r="B153" s="4"/>
      <c r="C153" s="6"/>
      <c r="D153" s="6"/>
      <c r="E153" s="6"/>
      <c r="F153" s="6"/>
      <c r="G153" s="15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40">
        <f>V170*T152/(Q172/2)</f>
        <v>8.2836363636363632</v>
      </c>
      <c r="X153" s="40"/>
      <c r="Y153" s="6" t="s">
        <v>1</v>
      </c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5"/>
    </row>
    <row r="154" spans="2:54" ht="11.25" customHeight="1" x14ac:dyDescent="0.2">
      <c r="B154" s="4"/>
      <c r="C154" s="6"/>
      <c r="D154" s="6"/>
      <c r="E154" s="6"/>
      <c r="F154" s="6"/>
      <c r="G154" s="15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5"/>
    </row>
    <row r="155" spans="2:54" ht="11.25" customHeight="1" x14ac:dyDescent="0.2">
      <c r="B155" s="4"/>
      <c r="C155" s="6"/>
      <c r="D155" s="6"/>
      <c r="E155" s="6"/>
      <c r="F155" s="6"/>
      <c r="G155" s="15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41">
        <v>8.2799999999999994</v>
      </c>
      <c r="Y155" s="41"/>
      <c r="Z155" s="6" t="s">
        <v>1</v>
      </c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5"/>
    </row>
    <row r="156" spans="2:54" ht="11.25" customHeight="1" x14ac:dyDescent="0.2">
      <c r="B156" s="4"/>
      <c r="C156" s="6"/>
      <c r="D156" s="6"/>
      <c r="E156" s="6"/>
      <c r="F156" s="6"/>
      <c r="G156" s="15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S156" s="6"/>
      <c r="AT156" s="6"/>
      <c r="AU156" s="6"/>
      <c r="AV156" s="6"/>
      <c r="AW156" s="6"/>
      <c r="AX156" s="6"/>
      <c r="AY156" s="6"/>
      <c r="AZ156" s="6"/>
      <c r="BA156" s="6"/>
      <c r="BB156" s="5"/>
    </row>
    <row r="157" spans="2:54" ht="11.25" customHeight="1" x14ac:dyDescent="0.2">
      <c r="B157" s="4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5"/>
    </row>
    <row r="158" spans="2:54" ht="11.25" customHeight="1" x14ac:dyDescent="0.2">
      <c r="B158" s="4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5"/>
    </row>
    <row r="159" spans="2:54" x14ac:dyDescent="0.2">
      <c r="B159" s="4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41">
        <v>8.8800000000000008</v>
      </c>
      <c r="Z159" s="41"/>
      <c r="AA159" s="6" t="s">
        <v>1</v>
      </c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5"/>
    </row>
    <row r="160" spans="2:54" x14ac:dyDescent="0.2">
      <c r="B160" s="4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S160" s="6"/>
      <c r="AT160" s="6"/>
      <c r="AU160" s="6"/>
      <c r="AV160" s="6"/>
      <c r="AW160" s="6"/>
      <c r="AX160" s="6"/>
      <c r="AY160" s="6"/>
      <c r="AZ160" s="6"/>
      <c r="BA160" s="6"/>
      <c r="BB160" s="5"/>
    </row>
    <row r="161" spans="2:54" x14ac:dyDescent="0.2">
      <c r="B161" s="4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M161" s="8" t="s">
        <v>35</v>
      </c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5"/>
    </row>
    <row r="162" spans="2:54" x14ac:dyDescent="0.2">
      <c r="B162" s="4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5"/>
    </row>
    <row r="163" spans="2:54" x14ac:dyDescent="0.2">
      <c r="B163" s="4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5"/>
    </row>
    <row r="164" spans="2:54" x14ac:dyDescent="0.2">
      <c r="B164" s="4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 t="s">
        <v>23</v>
      </c>
      <c r="AQ164" s="41">
        <v>0.56000000000000005</v>
      </c>
      <c r="AR164" s="41"/>
      <c r="AS164" s="6" t="s">
        <v>0</v>
      </c>
      <c r="AT164" s="6"/>
      <c r="AU164" s="6"/>
      <c r="AV164" s="6"/>
      <c r="AW164" s="6"/>
      <c r="AX164" s="6"/>
      <c r="AY164" s="6"/>
      <c r="AZ164" s="6"/>
      <c r="BA164" s="6"/>
      <c r="BB164" s="5"/>
    </row>
    <row r="165" spans="2:54" x14ac:dyDescent="0.2">
      <c r="B165" s="4"/>
      <c r="C165" s="6"/>
      <c r="D165" s="41">
        <v>62.57</v>
      </c>
      <c r="E165" s="41"/>
      <c r="F165" s="6" t="s">
        <v>2</v>
      </c>
      <c r="G165" s="6"/>
      <c r="H165" s="6"/>
      <c r="I165" s="6"/>
      <c r="J165" s="6"/>
      <c r="K165" s="6"/>
      <c r="L165" s="6"/>
      <c r="M165" s="6"/>
      <c r="N165" s="10">
        <v>1</v>
      </c>
      <c r="O165" s="6"/>
      <c r="P165" s="6"/>
      <c r="Q165" s="6"/>
      <c r="R165" s="13">
        <v>2</v>
      </c>
      <c r="S165" s="6"/>
      <c r="T165" s="6"/>
      <c r="U165" s="10">
        <v>3</v>
      </c>
      <c r="V165" s="6"/>
      <c r="W165" s="6"/>
      <c r="X165" s="6"/>
      <c r="Y165" s="6"/>
      <c r="Z165" s="6"/>
      <c r="AA165" s="6"/>
      <c r="AB165" s="6"/>
      <c r="AC165" s="41">
        <v>48.07</v>
      </c>
      <c r="AD165" s="41"/>
      <c r="AE165" s="6" t="s">
        <v>2</v>
      </c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T165" s="6"/>
      <c r="AU165" s="6"/>
      <c r="AV165" s="6"/>
      <c r="AW165" s="6"/>
      <c r="AX165" s="6"/>
      <c r="AY165" s="6"/>
      <c r="AZ165" s="6"/>
      <c r="BA165" s="6"/>
      <c r="BB165" s="5"/>
    </row>
    <row r="166" spans="2:54" x14ac:dyDescent="0.2">
      <c r="B166" s="4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5"/>
    </row>
    <row r="167" spans="2:54" x14ac:dyDescent="0.2">
      <c r="B167" s="4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5"/>
    </row>
    <row r="168" spans="2:54" x14ac:dyDescent="0.2">
      <c r="B168" s="4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5"/>
    </row>
    <row r="169" spans="2:54" x14ac:dyDescent="0.2">
      <c r="B169" s="4"/>
      <c r="C169" s="6"/>
      <c r="D169" s="6"/>
      <c r="E169" s="6"/>
      <c r="F169" s="6"/>
      <c r="G169" s="6"/>
      <c r="H169" s="6" t="s">
        <v>3</v>
      </c>
      <c r="I169" s="35">
        <f>+D179</f>
        <v>57.207613636363639</v>
      </c>
      <c r="J169" s="35"/>
      <c r="K169" s="6" t="s">
        <v>4</v>
      </c>
      <c r="L169" s="6"/>
      <c r="P169" s="6"/>
      <c r="Q169" s="6"/>
      <c r="R169" s="6"/>
      <c r="S169" s="6"/>
      <c r="W169" s="6"/>
      <c r="X169" s="6" t="s">
        <v>5</v>
      </c>
      <c r="Y169" s="35">
        <f>+D183</f>
        <v>51.934886363636366</v>
      </c>
      <c r="Z169" s="35"/>
      <c r="AA169" s="6" t="s">
        <v>4</v>
      </c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5"/>
    </row>
    <row r="170" spans="2:54" x14ac:dyDescent="0.2">
      <c r="B170" s="4"/>
      <c r="C170" s="6"/>
      <c r="D170" s="6"/>
      <c r="E170" s="6"/>
      <c r="F170" s="6"/>
      <c r="G170" s="6"/>
      <c r="H170" s="6"/>
      <c r="I170" s="6"/>
      <c r="J170" s="6"/>
      <c r="K170" s="35">
        <f>(Q172-Q170)/2</f>
        <v>2</v>
      </c>
      <c r="L170" s="35"/>
      <c r="M170" s="6" t="s">
        <v>0</v>
      </c>
      <c r="P170" s="6"/>
      <c r="Q170" s="41">
        <v>1.5</v>
      </c>
      <c r="R170" s="41"/>
      <c r="S170" s="6" t="s">
        <v>0</v>
      </c>
      <c r="T170" s="6"/>
      <c r="V170" s="35">
        <f>+K170</f>
        <v>2</v>
      </c>
      <c r="W170" s="35"/>
      <c r="X170" s="6" t="s">
        <v>0</v>
      </c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5"/>
    </row>
    <row r="171" spans="2:54" x14ac:dyDescent="0.2">
      <c r="B171" s="4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5"/>
    </row>
    <row r="172" spans="2:54" x14ac:dyDescent="0.2">
      <c r="B172" s="4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41">
        <v>5.5</v>
      </c>
      <c r="R172" s="41"/>
      <c r="S172" s="6" t="s">
        <v>0</v>
      </c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5"/>
    </row>
    <row r="173" spans="2:54" x14ac:dyDescent="0.2">
      <c r="B173" s="4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5"/>
    </row>
    <row r="174" spans="2:54" x14ac:dyDescent="0.2">
      <c r="B174" s="4"/>
      <c r="C174" s="6"/>
      <c r="D174" s="6"/>
      <c r="E174" s="6"/>
      <c r="F174" s="6"/>
      <c r="G174" s="6"/>
      <c r="H174" s="6" t="s">
        <v>43</v>
      </c>
      <c r="I174" s="41">
        <v>0.5</v>
      </c>
      <c r="J174" s="41"/>
      <c r="K174" s="6" t="s">
        <v>22</v>
      </c>
      <c r="L174" s="6" t="s">
        <v>21</v>
      </c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 t="s">
        <v>44</v>
      </c>
      <c r="Y174" s="41">
        <v>0.6</v>
      </c>
      <c r="Z174" s="41"/>
      <c r="AA174" s="6" t="s">
        <v>22</v>
      </c>
      <c r="AB174" s="6" t="s">
        <v>21</v>
      </c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5"/>
    </row>
    <row r="175" spans="2:54" x14ac:dyDescent="0.2">
      <c r="B175" s="4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5"/>
    </row>
    <row r="176" spans="2:54" x14ac:dyDescent="0.2">
      <c r="B176" s="4"/>
      <c r="C176" s="9" t="s">
        <v>29</v>
      </c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BB176" s="5"/>
    </row>
    <row r="177" spans="1:54" x14ac:dyDescent="0.2">
      <c r="B177" s="4"/>
      <c r="C177" s="6" t="s">
        <v>19</v>
      </c>
      <c r="D177" s="6"/>
      <c r="E177" s="6"/>
      <c r="F177" s="6"/>
      <c r="G177" s="6"/>
      <c r="H177" s="6"/>
      <c r="I177" s="6"/>
      <c r="J177" s="6"/>
      <c r="K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BB177" s="5"/>
    </row>
    <row r="178" spans="1:54" x14ac:dyDescent="0.2">
      <c r="B178" s="4"/>
      <c r="C178" s="6" t="s">
        <v>6</v>
      </c>
      <c r="D178" s="35">
        <f>+Q172</f>
        <v>5.5</v>
      </c>
      <c r="E178" s="35"/>
      <c r="F178" s="10" t="s">
        <v>7</v>
      </c>
      <c r="G178" s="35">
        <f>+AC165</f>
        <v>48.07</v>
      </c>
      <c r="H178" s="35"/>
      <c r="I178" s="10" t="s">
        <v>8</v>
      </c>
      <c r="J178" s="35">
        <f>+D165</f>
        <v>62.57</v>
      </c>
      <c r="K178" s="35"/>
      <c r="L178" s="16" t="s">
        <v>8</v>
      </c>
      <c r="M178" s="38">
        <f>+T152</f>
        <v>11.39</v>
      </c>
      <c r="N178" s="38"/>
      <c r="O178" s="16" t="s">
        <v>9</v>
      </c>
      <c r="P178" s="38">
        <f>+Q172</f>
        <v>5.5</v>
      </c>
      <c r="Q178" s="38"/>
      <c r="R178" s="1" t="s">
        <v>10</v>
      </c>
      <c r="S178" s="1">
        <v>2</v>
      </c>
      <c r="T178" s="3" t="s">
        <v>9</v>
      </c>
      <c r="U178" s="38">
        <f>+Q172/2</f>
        <v>2.75</v>
      </c>
      <c r="V178" s="38"/>
      <c r="W178" s="10" t="s">
        <v>47</v>
      </c>
      <c r="X178" s="35">
        <f>+Q170</f>
        <v>1.5</v>
      </c>
      <c r="Y178" s="35"/>
      <c r="Z178" s="1" t="s">
        <v>7</v>
      </c>
      <c r="AA178" s="38">
        <f>+Q172</f>
        <v>5.5</v>
      </c>
      <c r="AB178" s="38"/>
      <c r="AC178" s="1" t="s">
        <v>48</v>
      </c>
      <c r="AD178" s="1">
        <v>2</v>
      </c>
      <c r="AE178" s="3" t="s">
        <v>9</v>
      </c>
      <c r="AF178" s="38">
        <f>+X155</f>
        <v>8.2799999999999994</v>
      </c>
      <c r="AG178" s="38"/>
      <c r="AH178" s="3" t="s">
        <v>9</v>
      </c>
      <c r="AI178" s="38">
        <f>+Q172/2</f>
        <v>2.75</v>
      </c>
      <c r="AJ178" s="38"/>
      <c r="AK178" s="10" t="s">
        <v>8</v>
      </c>
      <c r="AL178" s="35">
        <f>+Y159</f>
        <v>8.8800000000000008</v>
      </c>
      <c r="AM178" s="35"/>
      <c r="AN178" s="10" t="s">
        <v>9</v>
      </c>
      <c r="AO178" s="35">
        <f>+Q172</f>
        <v>5.5</v>
      </c>
      <c r="AP178" s="35"/>
      <c r="AQ178" s="10" t="s">
        <v>9</v>
      </c>
      <c r="AR178" s="35">
        <f>+Q172/2</f>
        <v>2.75</v>
      </c>
      <c r="AS178" s="35"/>
      <c r="AT178" s="10" t="s">
        <v>11</v>
      </c>
      <c r="AU178" s="6">
        <v>0</v>
      </c>
      <c r="BB178" s="5"/>
    </row>
    <row r="179" spans="1:54" x14ac:dyDescent="0.2">
      <c r="B179" s="4"/>
      <c r="C179" s="14" t="s">
        <v>3</v>
      </c>
      <c r="D179" s="36">
        <f>(-G178+J178+M178*P178/S178*U178+(X178+AA178)/AD178*AF178*AI178+AL178*AO178*AR178)/D178</f>
        <v>57.207613636363639</v>
      </c>
      <c r="E179" s="36"/>
      <c r="F179" s="36"/>
      <c r="G179" s="11" t="s">
        <v>4</v>
      </c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BB179" s="5"/>
    </row>
    <row r="180" spans="1:54" x14ac:dyDescent="0.2">
      <c r="B180" s="4"/>
      <c r="C180" s="9" t="s">
        <v>30</v>
      </c>
      <c r="D180" s="12"/>
      <c r="E180" s="12"/>
      <c r="F180" s="12"/>
      <c r="G180" s="11"/>
      <c r="H180" s="6"/>
      <c r="I180" s="6"/>
      <c r="J180" s="6"/>
      <c r="K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BB180" s="5"/>
    </row>
    <row r="181" spans="1:54" x14ac:dyDescent="0.2">
      <c r="B181" s="4"/>
      <c r="C181" s="6" t="s">
        <v>20</v>
      </c>
      <c r="D181" s="10"/>
      <c r="E181" s="10"/>
      <c r="F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BB181" s="5"/>
    </row>
    <row r="182" spans="1:54" x14ac:dyDescent="0.2">
      <c r="B182" s="4"/>
      <c r="C182" s="6" t="s">
        <v>55</v>
      </c>
      <c r="D182" s="6"/>
      <c r="E182" s="38">
        <f>+I169</f>
        <v>57.207613636363639</v>
      </c>
      <c r="F182" s="38"/>
      <c r="G182" s="3" t="s">
        <v>8</v>
      </c>
      <c r="H182" s="38">
        <f>+T152</f>
        <v>11.39</v>
      </c>
      <c r="I182" s="38"/>
      <c r="J182" s="3" t="s">
        <v>9</v>
      </c>
      <c r="K182" s="38">
        <f>+Q172</f>
        <v>5.5</v>
      </c>
      <c r="L182" s="38"/>
      <c r="M182" s="1" t="s">
        <v>10</v>
      </c>
      <c r="N182" s="1">
        <v>2</v>
      </c>
      <c r="O182" s="1" t="s">
        <v>47</v>
      </c>
      <c r="P182" s="35">
        <f>+Q170</f>
        <v>1.5</v>
      </c>
      <c r="Q182" s="35"/>
      <c r="R182" s="10" t="s">
        <v>7</v>
      </c>
      <c r="S182" s="35">
        <f>+Q172</f>
        <v>5.5</v>
      </c>
      <c r="T182" s="35"/>
      <c r="U182" s="6" t="s">
        <v>49</v>
      </c>
      <c r="V182" s="6">
        <v>2</v>
      </c>
      <c r="W182" s="10" t="s">
        <v>9</v>
      </c>
      <c r="X182" s="38">
        <f>+X155</f>
        <v>8.2799999999999994</v>
      </c>
      <c r="Y182" s="38"/>
      <c r="Z182" s="3" t="s">
        <v>8</v>
      </c>
      <c r="AA182" s="35">
        <f>+Y159</f>
        <v>8.8800000000000008</v>
      </c>
      <c r="AB182" s="35"/>
      <c r="AC182" s="10" t="s">
        <v>9</v>
      </c>
      <c r="AD182" s="35">
        <f>+Q172</f>
        <v>5.5</v>
      </c>
      <c r="AE182" s="35"/>
      <c r="AF182" s="10" t="s">
        <v>11</v>
      </c>
      <c r="AG182" s="6">
        <v>0</v>
      </c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BB182" s="5"/>
    </row>
    <row r="183" spans="1:54" x14ac:dyDescent="0.2">
      <c r="B183" s="4"/>
      <c r="C183" s="14" t="s">
        <v>5</v>
      </c>
      <c r="D183" s="36">
        <f>-E182+H182*K182/N182+(P182+S182)/V182*X182+AA182*AD182</f>
        <v>51.934886363636366</v>
      </c>
      <c r="E183" s="36"/>
      <c r="F183" s="36"/>
      <c r="G183" s="11" t="s">
        <v>4</v>
      </c>
      <c r="H183" s="6"/>
      <c r="I183" s="6"/>
      <c r="J183" s="6"/>
      <c r="K183" s="6"/>
      <c r="L183" s="6"/>
      <c r="M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BB183" s="5"/>
    </row>
    <row r="184" spans="1:54" x14ac:dyDescent="0.2">
      <c r="B184" s="4"/>
      <c r="C184" s="9" t="s">
        <v>68</v>
      </c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BB184" s="5"/>
    </row>
    <row r="185" spans="1:54" x14ac:dyDescent="0.2">
      <c r="A185" s="21"/>
      <c r="B185" s="19"/>
      <c r="C185" s="18" t="s">
        <v>51</v>
      </c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21"/>
      <c r="AW185" s="21"/>
      <c r="AX185" s="21"/>
      <c r="AY185" s="21"/>
      <c r="AZ185" s="21"/>
      <c r="BA185" s="21"/>
      <c r="BB185" s="27"/>
    </row>
    <row r="186" spans="1:54" x14ac:dyDescent="0.2">
      <c r="B186" s="4"/>
      <c r="C186" s="6" t="s">
        <v>50</v>
      </c>
      <c r="D186" s="6"/>
      <c r="E186" s="35">
        <f>+I169</f>
        <v>57.207613636363639</v>
      </c>
      <c r="F186" s="35"/>
      <c r="G186" s="10" t="s">
        <v>8</v>
      </c>
      <c r="H186" s="35">
        <f>+Y159</f>
        <v>8.8800000000000008</v>
      </c>
      <c r="I186" s="35"/>
      <c r="J186" s="10" t="s">
        <v>9</v>
      </c>
      <c r="K186" s="35">
        <f>+K170</f>
        <v>2</v>
      </c>
      <c r="L186" s="35"/>
      <c r="M186" s="10" t="s">
        <v>8</v>
      </c>
      <c r="N186" s="35">
        <f>+X155</f>
        <v>8.2799999999999994</v>
      </c>
      <c r="O186" s="35"/>
      <c r="P186" s="10" t="s">
        <v>9</v>
      </c>
      <c r="Q186" s="35">
        <f>+K170</f>
        <v>2</v>
      </c>
      <c r="R186" s="35"/>
      <c r="S186" s="6" t="s">
        <v>10</v>
      </c>
      <c r="T186" s="6">
        <v>2</v>
      </c>
      <c r="U186" s="3" t="s">
        <v>8</v>
      </c>
      <c r="V186" s="38">
        <f>+W153</f>
        <v>8.2836363636363632</v>
      </c>
      <c r="W186" s="38"/>
      <c r="X186" s="3" t="s">
        <v>9</v>
      </c>
      <c r="Y186" s="35">
        <f>+K170</f>
        <v>2</v>
      </c>
      <c r="Z186" s="35"/>
      <c r="AA186" s="6" t="s">
        <v>10</v>
      </c>
      <c r="AB186" s="6">
        <v>2</v>
      </c>
      <c r="AC186" s="10" t="s">
        <v>11</v>
      </c>
      <c r="AD186" s="35">
        <f>+E186-H186*K186-N186*Q186/T186-V186*Y186/AB186</f>
        <v>22.883977272727279</v>
      </c>
      <c r="AE186" s="35"/>
      <c r="AF186" s="6" t="s">
        <v>4</v>
      </c>
      <c r="AG186" s="6"/>
      <c r="AH186" s="6"/>
      <c r="AI186" s="6"/>
      <c r="AJ186" s="6"/>
      <c r="AO186" s="6"/>
      <c r="AP186" s="6"/>
      <c r="AQ186" s="6"/>
      <c r="AR186" s="6"/>
      <c r="AS186" s="6"/>
      <c r="AT186" s="6"/>
      <c r="AU186" s="6"/>
      <c r="BB186" s="5"/>
    </row>
    <row r="187" spans="1:54" x14ac:dyDescent="0.2">
      <c r="B187" s="4"/>
      <c r="C187" s="6" t="s">
        <v>62</v>
      </c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BB187" s="5"/>
    </row>
    <row r="188" spans="1:54" x14ac:dyDescent="0.2">
      <c r="B188" s="4"/>
      <c r="C188" s="35">
        <f>+I169</f>
        <v>57.207613636363639</v>
      </c>
      <c r="D188" s="35"/>
      <c r="E188" s="10" t="s">
        <v>8</v>
      </c>
      <c r="F188" s="35">
        <f>+Y159</f>
        <v>8.8800000000000008</v>
      </c>
      <c r="G188" s="35"/>
      <c r="H188" s="6" t="s">
        <v>52</v>
      </c>
      <c r="I188" s="6"/>
      <c r="J188" s="35">
        <f>+K170</f>
        <v>2</v>
      </c>
      <c r="K188" s="35"/>
      <c r="L188" s="10" t="s">
        <v>9</v>
      </c>
      <c r="M188" s="35">
        <f>+X155</f>
        <v>8.2799999999999994</v>
      </c>
      <c r="N188" s="35"/>
      <c r="O188" s="6" t="s">
        <v>10</v>
      </c>
      <c r="P188" s="6">
        <v>2</v>
      </c>
      <c r="Q188" s="6" t="s">
        <v>53</v>
      </c>
      <c r="S188" s="38">
        <f>+K170</f>
        <v>2</v>
      </c>
      <c r="T188" s="38"/>
      <c r="U188" s="6" t="s">
        <v>54</v>
      </c>
      <c r="V188" s="35">
        <f>+X155</f>
        <v>8.2799999999999994</v>
      </c>
      <c r="W188" s="35"/>
      <c r="X188" s="3" t="s">
        <v>8</v>
      </c>
      <c r="Y188" s="38">
        <f>+T152</f>
        <v>11.39</v>
      </c>
      <c r="Z188" s="38"/>
      <c r="AA188" s="6" t="s">
        <v>58</v>
      </c>
      <c r="AB188" s="6"/>
      <c r="AC188" s="35">
        <f>+Q172/2</f>
        <v>2.75</v>
      </c>
      <c r="AD188" s="35"/>
      <c r="AE188" s="6" t="s">
        <v>72</v>
      </c>
      <c r="AF188" s="6"/>
      <c r="AG188" s="6">
        <v>2</v>
      </c>
      <c r="AH188" s="10" t="s">
        <v>11</v>
      </c>
      <c r="AI188" s="6">
        <v>0</v>
      </c>
      <c r="AJ188" s="6"/>
      <c r="AN188" s="6"/>
      <c r="AO188" s="6"/>
      <c r="AP188" s="6"/>
      <c r="AQ188" s="6"/>
      <c r="AR188" s="6"/>
      <c r="AS188" s="6"/>
      <c r="AT188" s="6"/>
      <c r="AU188" s="6"/>
      <c r="BB188" s="5"/>
    </row>
    <row r="189" spans="1:54" x14ac:dyDescent="0.2">
      <c r="B189" s="4"/>
      <c r="C189" s="35">
        <f>-Y188/AC188/AG188</f>
        <v>-2.0709090909090908</v>
      </c>
      <c r="D189" s="35"/>
      <c r="E189" s="6" t="s">
        <v>16</v>
      </c>
      <c r="F189" s="6"/>
      <c r="G189" s="35">
        <f>-F188-V188</f>
        <v>-17.16</v>
      </c>
      <c r="H189" s="35"/>
      <c r="I189" s="13" t="s">
        <v>13</v>
      </c>
      <c r="K189" s="35">
        <f>+C188-J188*M188/P188+S188*V188</f>
        <v>65.487613636363633</v>
      </c>
      <c r="L189" s="35"/>
      <c r="M189" s="10" t="s">
        <v>11</v>
      </c>
      <c r="N189" s="6">
        <v>0</v>
      </c>
      <c r="O189" s="6"/>
      <c r="P189" s="6"/>
      <c r="Q189" s="6"/>
      <c r="R189" s="6"/>
      <c r="S189" s="6"/>
      <c r="T189" s="6" t="s">
        <v>15</v>
      </c>
      <c r="U189" s="35">
        <f>(-G189+SQRT(G189^2-4*C189*K189))/(2*C189)</f>
        <v>-11.127947592953143</v>
      </c>
      <c r="V189" s="35"/>
      <c r="W189" s="6" t="s">
        <v>0</v>
      </c>
      <c r="X189" s="6"/>
      <c r="Y189" s="6"/>
      <c r="Z189" s="6"/>
      <c r="AA189" s="6" t="s">
        <v>15</v>
      </c>
      <c r="AB189" s="35">
        <f>(-G189-SQRT(G189^2-4*C189*K189))/(2*C189)</f>
        <v>2.8417316140242574</v>
      </c>
      <c r="AC189" s="35"/>
      <c r="AD189" s="6" t="s">
        <v>0</v>
      </c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BB189" s="5"/>
    </row>
    <row r="190" spans="1:54" x14ac:dyDescent="0.2">
      <c r="B190" s="4"/>
      <c r="C190" s="6" t="s">
        <v>15</v>
      </c>
      <c r="D190" s="35">
        <f>IF(U189&gt;0,U189,IF(AB189&gt;0,AB189,"hatalı"))</f>
        <v>2.8417316140242574</v>
      </c>
      <c r="E190" s="35"/>
      <c r="F190" s="6" t="s">
        <v>0</v>
      </c>
      <c r="G190" s="6"/>
      <c r="H190" s="6" t="s">
        <v>74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BB190" s="5"/>
    </row>
    <row r="191" spans="1:54" x14ac:dyDescent="0.2">
      <c r="B191" s="4"/>
      <c r="C191" s="18" t="s">
        <v>18</v>
      </c>
      <c r="D191" s="18"/>
      <c r="E191" s="40">
        <f>+I169</f>
        <v>57.207613636363639</v>
      </c>
      <c r="F191" s="40"/>
      <c r="G191" s="23" t="s">
        <v>9</v>
      </c>
      <c r="H191" s="40">
        <f>+D190</f>
        <v>2.8417316140242574</v>
      </c>
      <c r="I191" s="40"/>
      <c r="J191" s="23" t="s">
        <v>8</v>
      </c>
      <c r="K191" s="40">
        <v>0.5</v>
      </c>
      <c r="L191" s="40"/>
      <c r="M191" s="23" t="s">
        <v>9</v>
      </c>
      <c r="N191" s="40">
        <f>+Y159</f>
        <v>8.8800000000000008</v>
      </c>
      <c r="O191" s="40"/>
      <c r="P191" s="23" t="s">
        <v>9</v>
      </c>
      <c r="Q191" s="40">
        <f>+D190</f>
        <v>2.8417316140242574</v>
      </c>
      <c r="R191" s="40"/>
      <c r="S191" s="18" t="s">
        <v>17</v>
      </c>
      <c r="T191" s="40">
        <f>+K170</f>
        <v>2</v>
      </c>
      <c r="U191" s="40"/>
      <c r="V191" s="23" t="s">
        <v>9</v>
      </c>
      <c r="W191" s="40">
        <f>+X155</f>
        <v>8.2799999999999994</v>
      </c>
      <c r="X191" s="40"/>
      <c r="Y191" s="18" t="s">
        <v>10</v>
      </c>
      <c r="Z191" s="18">
        <v>2</v>
      </c>
      <c r="AA191" s="23" t="s">
        <v>9</v>
      </c>
      <c r="AB191" s="40">
        <f>(D190-K170)+K170/3</f>
        <v>1.508398280690924</v>
      </c>
      <c r="AC191" s="40"/>
      <c r="AD191" s="23" t="s">
        <v>8</v>
      </c>
      <c r="AE191" s="40">
        <f>+X155</f>
        <v>8.2799999999999994</v>
      </c>
      <c r="AF191" s="40"/>
      <c r="AG191" s="23" t="s">
        <v>9</v>
      </c>
      <c r="AH191" s="40">
        <f>+D190-K170</f>
        <v>0.84173161402425745</v>
      </c>
      <c r="AI191" s="40"/>
      <c r="AJ191" s="18" t="s">
        <v>59</v>
      </c>
      <c r="AK191" s="18">
        <v>2</v>
      </c>
      <c r="AL191" s="20" t="s">
        <v>8</v>
      </c>
      <c r="AM191" s="40">
        <f>+T152</f>
        <v>11.39</v>
      </c>
      <c r="AN191" s="40"/>
      <c r="AO191" s="23" t="s">
        <v>9</v>
      </c>
      <c r="AP191" s="40">
        <f>+D190</f>
        <v>2.8417316140242574</v>
      </c>
      <c r="AQ191" s="40"/>
      <c r="AR191" s="18" t="s">
        <v>10</v>
      </c>
      <c r="AS191" s="40">
        <f>+Q172/2</f>
        <v>2.75</v>
      </c>
      <c r="AT191" s="40"/>
      <c r="AU191" s="23" t="s">
        <v>9</v>
      </c>
      <c r="AV191" s="40">
        <f>+D190</f>
        <v>2.8417316140242574</v>
      </c>
      <c r="AW191" s="40"/>
      <c r="AX191" s="18" t="s">
        <v>10</v>
      </c>
      <c r="BB191" s="5"/>
    </row>
    <row r="192" spans="1:54" x14ac:dyDescent="0.2">
      <c r="B192" s="4"/>
      <c r="C192" s="18"/>
      <c r="D192" s="18" t="s">
        <v>10</v>
      </c>
      <c r="E192" s="18">
        <v>2</v>
      </c>
      <c r="F192" s="23" t="s">
        <v>9</v>
      </c>
      <c r="G192" s="40">
        <f>+AV191</f>
        <v>2.8417316140242574</v>
      </c>
      <c r="H192" s="40"/>
      <c r="I192" s="18" t="s">
        <v>10</v>
      </c>
      <c r="J192" s="18">
        <v>3</v>
      </c>
      <c r="K192" s="23" t="s">
        <v>8</v>
      </c>
      <c r="L192" s="40">
        <f>+D165</f>
        <v>62.57</v>
      </c>
      <c r="M192" s="40"/>
      <c r="N192" s="23" t="s">
        <v>11</v>
      </c>
      <c r="O192" s="40">
        <f>E191*H191-K191*N191*Q191^2-T191*W191/Z191*AB191-AE191*AH191^2/AK191-AM191*AP191/AS191*AV191/E192*G192/J192-L192</f>
        <v>32.879727032465972</v>
      </c>
      <c r="P192" s="40"/>
      <c r="Q192" s="18" t="s">
        <v>2</v>
      </c>
      <c r="R192" s="18"/>
      <c r="S192" s="18"/>
      <c r="T192" s="23"/>
      <c r="U192" s="23"/>
      <c r="V192" s="23"/>
      <c r="W192" s="23"/>
      <c r="X192" s="23"/>
      <c r="Y192" s="18"/>
      <c r="Z192" s="18"/>
      <c r="AA192" s="23"/>
      <c r="AB192" s="23"/>
      <c r="AC192" s="23"/>
      <c r="AD192" s="23"/>
      <c r="AE192" s="23"/>
      <c r="AF192" s="23"/>
      <c r="AG192" s="23"/>
      <c r="AH192" s="23"/>
      <c r="AI192" s="23"/>
      <c r="AJ192" s="18"/>
      <c r="AK192" s="18"/>
      <c r="AL192" s="21"/>
      <c r="AM192" s="21"/>
      <c r="AN192" s="21"/>
      <c r="AO192" s="21"/>
      <c r="AP192" s="21"/>
      <c r="AQ192" s="21"/>
      <c r="AR192" s="21"/>
      <c r="AS192" s="21"/>
      <c r="AT192" s="18"/>
      <c r="AU192" s="18"/>
      <c r="AV192" s="21"/>
      <c r="AW192" s="21"/>
      <c r="AX192" s="21"/>
      <c r="BB192" s="5"/>
    </row>
    <row r="193" spans="1:63" x14ac:dyDescent="0.2">
      <c r="B193" s="4"/>
      <c r="C193" s="18" t="s">
        <v>63</v>
      </c>
      <c r="D193" s="18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18"/>
      <c r="T193" s="23"/>
      <c r="U193" s="23"/>
      <c r="V193" s="23"/>
      <c r="W193" s="23"/>
      <c r="X193" s="23"/>
      <c r="Y193" s="18"/>
      <c r="Z193" s="21"/>
      <c r="AA193" s="21"/>
      <c r="AB193" s="23"/>
      <c r="AC193" s="23"/>
      <c r="AD193" s="23"/>
      <c r="AE193" s="21"/>
      <c r="AF193" s="21"/>
      <c r="AG193" s="23"/>
      <c r="AH193" s="23"/>
      <c r="AI193" s="23"/>
      <c r="AJ193" s="18"/>
      <c r="AK193" s="18"/>
      <c r="AL193" s="10"/>
      <c r="AM193" s="10"/>
      <c r="AN193" s="10"/>
      <c r="AO193" s="10"/>
      <c r="AP193" s="10"/>
      <c r="AQ193" s="10"/>
      <c r="AR193" s="6"/>
      <c r="AS193" s="6"/>
      <c r="AT193" s="6"/>
      <c r="AU193" s="6"/>
      <c r="BB193" s="5"/>
    </row>
    <row r="194" spans="1:63" x14ac:dyDescent="0.2">
      <c r="B194" s="4"/>
      <c r="C194" s="40">
        <f>+I169</f>
        <v>57.207613636363639</v>
      </c>
      <c r="D194" s="40"/>
      <c r="E194" s="23" t="s">
        <v>8</v>
      </c>
      <c r="F194" s="40">
        <f>+Y159</f>
        <v>8.8800000000000008</v>
      </c>
      <c r="G194" s="40"/>
      <c r="H194" s="18" t="s">
        <v>52</v>
      </c>
      <c r="I194" s="18"/>
      <c r="J194" s="40">
        <f>+X155</f>
        <v>8.2799999999999994</v>
      </c>
      <c r="K194" s="40"/>
      <c r="L194" s="18" t="s">
        <v>57</v>
      </c>
      <c r="M194" s="18"/>
      <c r="N194" s="40">
        <f>+K170</f>
        <v>2</v>
      </c>
      <c r="O194" s="40"/>
      <c r="P194" s="18" t="s">
        <v>58</v>
      </c>
      <c r="Q194" s="18"/>
      <c r="R194" s="18">
        <v>2</v>
      </c>
      <c r="S194" s="20" t="s">
        <v>8</v>
      </c>
      <c r="T194" s="39">
        <f>+T152</f>
        <v>11.39</v>
      </c>
      <c r="U194" s="39"/>
      <c r="V194" s="18" t="s">
        <v>57</v>
      </c>
      <c r="W194" s="18"/>
      <c r="X194" s="40">
        <f>+Q172/2</f>
        <v>2.75</v>
      </c>
      <c r="Y194" s="40"/>
      <c r="Z194" s="21" t="s">
        <v>73</v>
      </c>
      <c r="AA194" s="21"/>
      <c r="AB194" s="18">
        <v>2</v>
      </c>
      <c r="AC194" s="23" t="s">
        <v>11</v>
      </c>
      <c r="AD194" s="18">
        <v>0</v>
      </c>
      <c r="AE194" s="18"/>
      <c r="AF194" s="21"/>
      <c r="AG194" s="21"/>
      <c r="AH194" s="18"/>
      <c r="AI194" s="18"/>
      <c r="AJ194" s="18"/>
      <c r="AK194" s="21"/>
      <c r="AN194" s="6"/>
      <c r="AO194" s="6"/>
      <c r="AP194" s="6"/>
      <c r="AQ194" s="6"/>
      <c r="AR194" s="6"/>
      <c r="AS194" s="6"/>
      <c r="AT194" s="6"/>
      <c r="AU194" s="6"/>
      <c r="BB194" s="5"/>
    </row>
    <row r="195" spans="1:63" x14ac:dyDescent="0.2">
      <c r="B195" s="4"/>
      <c r="C195" s="40">
        <f>-J194/N194/R194-T194/X194/AB194</f>
        <v>-4.1409090909090907</v>
      </c>
      <c r="D195" s="40"/>
      <c r="E195" s="18" t="s">
        <v>16</v>
      </c>
      <c r="F195" s="18"/>
      <c r="G195" s="40">
        <f>-F194</f>
        <v>-8.8800000000000008</v>
      </c>
      <c r="H195" s="40"/>
      <c r="I195" s="32" t="s">
        <v>13</v>
      </c>
      <c r="J195" s="21"/>
      <c r="K195" s="40">
        <f>+C194</f>
        <v>57.207613636363639</v>
      </c>
      <c r="L195" s="40"/>
      <c r="M195" s="23" t="s">
        <v>11</v>
      </c>
      <c r="N195" s="18">
        <v>0</v>
      </c>
      <c r="O195" s="18"/>
      <c r="P195" s="18"/>
      <c r="Q195" s="18"/>
      <c r="R195" s="18"/>
      <c r="S195" s="18"/>
      <c r="T195" s="18" t="s">
        <v>15</v>
      </c>
      <c r="U195" s="40">
        <f>(-G195+SQRT(G195^2-4*C195*K195))/(2*C195)</f>
        <v>-4.9406781505307027</v>
      </c>
      <c r="V195" s="40"/>
      <c r="W195" s="18" t="s">
        <v>0</v>
      </c>
      <c r="X195" s="18"/>
      <c r="Y195" s="18"/>
      <c r="Z195" s="18"/>
      <c r="AA195" s="18" t="s">
        <v>15</v>
      </c>
      <c r="AB195" s="40">
        <f>(-G195-SQRT(G195^2-4*C195*K195))/(2*C195)</f>
        <v>2.7962215094769154</v>
      </c>
      <c r="AC195" s="40"/>
      <c r="AD195" s="18" t="s">
        <v>0</v>
      </c>
      <c r="AE195" s="18"/>
      <c r="AF195" s="18"/>
      <c r="AG195" s="18"/>
      <c r="AH195" s="18"/>
      <c r="AI195" s="18"/>
      <c r="AJ195" s="18"/>
      <c r="AK195" s="18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BB195" s="5"/>
    </row>
    <row r="196" spans="1:63" x14ac:dyDescent="0.2">
      <c r="B196" s="4"/>
      <c r="C196" s="18" t="s">
        <v>15</v>
      </c>
      <c r="D196" s="40">
        <f>IF(U195&gt;0,U195,IF(AB195&gt;0,AB195,"hatalı"))</f>
        <v>2.7962215094769154</v>
      </c>
      <c r="E196" s="40"/>
      <c r="F196" s="18" t="s">
        <v>0</v>
      </c>
      <c r="G196" s="18"/>
      <c r="H196" s="6" t="s">
        <v>74</v>
      </c>
      <c r="I196" s="23"/>
      <c r="J196" s="21"/>
      <c r="K196" s="21"/>
      <c r="L196" s="21"/>
      <c r="M196" s="21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6"/>
      <c r="AS196" s="6"/>
      <c r="AT196" s="6"/>
      <c r="AU196" s="6"/>
      <c r="BB196" s="5"/>
    </row>
    <row r="197" spans="1:63" x14ac:dyDescent="0.2">
      <c r="B197" s="4"/>
      <c r="C197" s="18" t="s">
        <v>18</v>
      </c>
      <c r="D197" s="18"/>
      <c r="E197" s="40">
        <f>+I169</f>
        <v>57.207613636363639</v>
      </c>
      <c r="F197" s="40"/>
      <c r="G197" s="23" t="s">
        <v>9</v>
      </c>
      <c r="H197" s="40">
        <f>+D196</f>
        <v>2.7962215094769154</v>
      </c>
      <c r="I197" s="40"/>
      <c r="J197" s="23" t="s">
        <v>8</v>
      </c>
      <c r="K197" s="40">
        <v>0.5</v>
      </c>
      <c r="L197" s="40"/>
      <c r="M197" s="23" t="s">
        <v>9</v>
      </c>
      <c r="N197" s="40">
        <f>+Y159</f>
        <v>8.8800000000000008</v>
      </c>
      <c r="O197" s="40"/>
      <c r="P197" s="23" t="s">
        <v>9</v>
      </c>
      <c r="Q197" s="40">
        <f>+D196</f>
        <v>2.7962215094769154</v>
      </c>
      <c r="R197" s="40"/>
      <c r="S197" s="18" t="s">
        <v>17</v>
      </c>
      <c r="T197" s="40">
        <f>+D196</f>
        <v>2.7962215094769154</v>
      </c>
      <c r="U197" s="40"/>
      <c r="V197" s="23" t="s">
        <v>9</v>
      </c>
      <c r="W197" s="40">
        <f>+X155</f>
        <v>8.2799999999999994</v>
      </c>
      <c r="X197" s="40"/>
      <c r="Y197" s="18" t="s">
        <v>10</v>
      </c>
      <c r="Z197" s="40">
        <f>+K170</f>
        <v>2</v>
      </c>
      <c r="AA197" s="40"/>
      <c r="AB197" s="23" t="s">
        <v>9</v>
      </c>
      <c r="AC197" s="40">
        <f>+D196</f>
        <v>2.7962215094769154</v>
      </c>
      <c r="AD197" s="40"/>
      <c r="AE197" s="18" t="s">
        <v>10</v>
      </c>
      <c r="AF197" s="18">
        <v>2</v>
      </c>
      <c r="AG197" s="23" t="s">
        <v>9</v>
      </c>
      <c r="AH197" s="40">
        <f>+D196</f>
        <v>2.7962215094769154</v>
      </c>
      <c r="AI197" s="40"/>
      <c r="AJ197" s="18" t="s">
        <v>10</v>
      </c>
      <c r="AK197" s="18">
        <v>3</v>
      </c>
      <c r="AL197" s="23" t="s">
        <v>8</v>
      </c>
      <c r="AM197" s="40">
        <f>+D196</f>
        <v>2.7962215094769154</v>
      </c>
      <c r="AN197" s="40"/>
      <c r="AO197" s="23" t="s">
        <v>9</v>
      </c>
      <c r="AP197" s="40">
        <f>+T152</f>
        <v>11.39</v>
      </c>
      <c r="AQ197" s="40"/>
      <c r="AR197" s="18" t="s">
        <v>10</v>
      </c>
      <c r="AS197" s="40">
        <f>+Q172/2</f>
        <v>2.75</v>
      </c>
      <c r="AT197" s="40"/>
      <c r="AU197" s="23" t="s">
        <v>9</v>
      </c>
      <c r="AV197" s="40">
        <f>+AM197</f>
        <v>2.7962215094769154</v>
      </c>
      <c r="AW197" s="40"/>
      <c r="AX197" s="18" t="s">
        <v>10</v>
      </c>
      <c r="AY197" s="21"/>
      <c r="AZ197" s="21"/>
      <c r="BB197" s="5"/>
    </row>
    <row r="198" spans="1:63" s="21" customFormat="1" x14ac:dyDescent="0.2">
      <c r="B198" s="19"/>
      <c r="C198" s="18"/>
      <c r="D198" s="18" t="s">
        <v>10</v>
      </c>
      <c r="E198" s="18">
        <v>2</v>
      </c>
      <c r="F198" s="23" t="s">
        <v>9</v>
      </c>
      <c r="G198" s="40">
        <f>+AV197</f>
        <v>2.7962215094769154</v>
      </c>
      <c r="H198" s="40"/>
      <c r="I198" s="18" t="s">
        <v>10</v>
      </c>
      <c r="J198" s="18">
        <v>3</v>
      </c>
      <c r="K198" s="20" t="s">
        <v>8</v>
      </c>
      <c r="L198" s="40">
        <f>+D165</f>
        <v>62.57</v>
      </c>
      <c r="M198" s="40"/>
      <c r="N198" s="23" t="s">
        <v>11</v>
      </c>
      <c r="O198" s="40">
        <f>E197*H197-K197*N197*Q197^2-T197*W197/Z197*AC197/AF197*AH197/AK197-AM197*AP197/AS197*AV197/E198*G198/J198-L198</f>
        <v>32.501534836739118</v>
      </c>
      <c r="P198" s="40"/>
      <c r="Q198" s="18" t="s">
        <v>2</v>
      </c>
      <c r="S198" s="18"/>
      <c r="T198" s="23"/>
      <c r="U198" s="23"/>
      <c r="V198" s="23"/>
      <c r="W198" s="23"/>
      <c r="X198" s="23"/>
      <c r="Y198" s="18"/>
      <c r="Z198" s="23"/>
      <c r="AA198" s="23"/>
      <c r="AB198" s="23"/>
      <c r="AC198" s="23"/>
      <c r="AD198" s="23"/>
      <c r="AE198" s="18"/>
      <c r="AF198" s="18"/>
      <c r="AG198" s="23"/>
      <c r="AH198" s="23"/>
      <c r="AI198" s="23"/>
      <c r="AJ198" s="18"/>
      <c r="AK198" s="18"/>
      <c r="AL198" s="23"/>
      <c r="AM198" s="23"/>
      <c r="AN198" s="23"/>
      <c r="AO198" s="23"/>
      <c r="AP198" s="23"/>
      <c r="AQ198" s="23"/>
      <c r="AR198" s="18"/>
      <c r="AS198" s="23"/>
      <c r="AT198" s="23"/>
      <c r="AU198" s="23"/>
      <c r="AV198" s="23"/>
      <c r="AW198" s="23"/>
      <c r="AX198" s="18"/>
      <c r="AY198" s="18"/>
      <c r="AZ198" s="23"/>
      <c r="BA198" s="17"/>
      <c r="BB198" s="22"/>
      <c r="BC198" s="18"/>
      <c r="BD198" s="18"/>
      <c r="BE198" s="20"/>
      <c r="BF198" s="17"/>
      <c r="BG198" s="17"/>
      <c r="BH198" s="17"/>
      <c r="BI198" s="17"/>
      <c r="BJ198" s="17"/>
      <c r="BK198" s="18"/>
    </row>
    <row r="199" spans="1:63" x14ac:dyDescent="0.2">
      <c r="A199" s="21"/>
      <c r="B199" s="19"/>
      <c r="C199" s="18" t="s">
        <v>60</v>
      </c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21"/>
      <c r="AW199" s="21"/>
      <c r="AX199" s="21"/>
      <c r="AY199" s="21"/>
      <c r="AZ199" s="21"/>
      <c r="BA199" s="21"/>
      <c r="BB199" s="27"/>
    </row>
    <row r="200" spans="1:63" x14ac:dyDescent="0.2">
      <c r="B200" s="4"/>
      <c r="C200" s="18" t="s">
        <v>61</v>
      </c>
      <c r="D200" s="18"/>
      <c r="E200" s="40">
        <f>+Y169</f>
        <v>51.934886363636366</v>
      </c>
      <c r="F200" s="40"/>
      <c r="G200" s="23" t="s">
        <v>8</v>
      </c>
      <c r="H200" s="40">
        <f>+Y159</f>
        <v>8.8800000000000008</v>
      </c>
      <c r="I200" s="40"/>
      <c r="J200" s="23" t="s">
        <v>9</v>
      </c>
      <c r="K200" s="40">
        <f>+V170</f>
        <v>2</v>
      </c>
      <c r="L200" s="40"/>
      <c r="M200" s="23" t="s">
        <v>8</v>
      </c>
      <c r="N200" s="40">
        <f>+X155</f>
        <v>8.2799999999999994</v>
      </c>
      <c r="O200" s="40"/>
      <c r="P200" s="23" t="s">
        <v>9</v>
      </c>
      <c r="Q200" s="40">
        <f>+V170</f>
        <v>2</v>
      </c>
      <c r="R200" s="40"/>
      <c r="S200" s="18" t="s">
        <v>10</v>
      </c>
      <c r="T200" s="18">
        <v>2</v>
      </c>
      <c r="U200" s="20" t="s">
        <v>8</v>
      </c>
      <c r="V200" s="39">
        <f>+W153</f>
        <v>8.2836363636363632</v>
      </c>
      <c r="W200" s="39"/>
      <c r="X200" s="20" t="s">
        <v>9</v>
      </c>
      <c r="Y200" s="40">
        <f>+V170</f>
        <v>2</v>
      </c>
      <c r="Z200" s="40"/>
      <c r="AA200" s="18" t="s">
        <v>10</v>
      </c>
      <c r="AB200" s="18">
        <v>2</v>
      </c>
      <c r="AC200" s="23" t="s">
        <v>11</v>
      </c>
      <c r="AD200" s="40">
        <f>+E200-H200*K200-N200*Q200/T200-V200*Y200/AB200</f>
        <v>17.611249999999998</v>
      </c>
      <c r="AE200" s="40"/>
      <c r="AF200" s="18" t="s">
        <v>4</v>
      </c>
      <c r="AG200" s="18"/>
      <c r="AH200" s="18"/>
      <c r="AI200" s="18"/>
      <c r="AJ200" s="18"/>
      <c r="AK200" s="21"/>
      <c r="AO200" s="6"/>
      <c r="AP200" s="6"/>
      <c r="AQ200" s="6"/>
      <c r="AR200" s="6"/>
      <c r="AS200" s="6"/>
      <c r="AT200" s="6"/>
      <c r="AU200" s="6"/>
      <c r="BB200" s="5"/>
    </row>
    <row r="201" spans="1:63" x14ac:dyDescent="0.2">
      <c r="B201" s="4"/>
      <c r="C201" s="6" t="s">
        <v>64</v>
      </c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BB201" s="5"/>
    </row>
    <row r="202" spans="1:63" x14ac:dyDescent="0.2">
      <c r="B202" s="4"/>
      <c r="C202" s="40">
        <f>+Y169</f>
        <v>51.934886363636366</v>
      </c>
      <c r="D202" s="40"/>
      <c r="E202" s="23" t="s">
        <v>8</v>
      </c>
      <c r="F202" s="40">
        <f>+Y159</f>
        <v>8.8800000000000008</v>
      </c>
      <c r="G202" s="40"/>
      <c r="H202" s="18" t="s">
        <v>52</v>
      </c>
      <c r="I202" s="18"/>
      <c r="J202" s="40">
        <f>+V170</f>
        <v>2</v>
      </c>
      <c r="K202" s="40"/>
      <c r="L202" s="23" t="s">
        <v>9</v>
      </c>
      <c r="M202" s="40">
        <f>+X155</f>
        <v>8.2799999999999994</v>
      </c>
      <c r="N202" s="40"/>
      <c r="O202" s="18" t="s">
        <v>10</v>
      </c>
      <c r="P202" s="18">
        <v>2</v>
      </c>
      <c r="Q202" s="18" t="s">
        <v>53</v>
      </c>
      <c r="R202" s="21"/>
      <c r="S202" s="39">
        <f>+V170</f>
        <v>2</v>
      </c>
      <c r="T202" s="39"/>
      <c r="U202" s="18" t="s">
        <v>54</v>
      </c>
      <c r="V202" s="40">
        <f>+X155</f>
        <v>8.2799999999999994</v>
      </c>
      <c r="W202" s="40"/>
      <c r="X202" s="20" t="s">
        <v>8</v>
      </c>
      <c r="Y202" s="39">
        <f>+T152</f>
        <v>11.39</v>
      </c>
      <c r="Z202" s="39"/>
      <c r="AA202" s="18" t="s">
        <v>58</v>
      </c>
      <c r="AB202" s="18"/>
      <c r="AC202" s="40">
        <f>+Q172/2</f>
        <v>2.75</v>
      </c>
      <c r="AD202" s="40"/>
      <c r="AE202" s="18" t="s">
        <v>72</v>
      </c>
      <c r="AF202" s="18"/>
      <c r="AG202" s="18">
        <v>2</v>
      </c>
      <c r="AH202" s="23" t="s">
        <v>11</v>
      </c>
      <c r="AI202" s="18">
        <v>0</v>
      </c>
      <c r="AJ202" s="18"/>
      <c r="AK202" s="21"/>
      <c r="AL202" s="21"/>
      <c r="AM202" s="18"/>
      <c r="AN202" s="18"/>
      <c r="AO202" s="21"/>
      <c r="AQ202" s="6"/>
      <c r="AR202" s="6"/>
      <c r="AS202" s="6"/>
      <c r="AT202" s="6"/>
      <c r="AU202" s="6"/>
      <c r="BB202" s="5"/>
    </row>
    <row r="203" spans="1:63" x14ac:dyDescent="0.2">
      <c r="B203" s="4"/>
      <c r="C203" s="40">
        <f>-Y202/AC202/AG202</f>
        <v>-2.0709090909090908</v>
      </c>
      <c r="D203" s="40"/>
      <c r="E203" s="18" t="s">
        <v>16</v>
      </c>
      <c r="F203" s="18"/>
      <c r="G203" s="40">
        <f>-F202-V202</f>
        <v>-17.16</v>
      </c>
      <c r="H203" s="40"/>
      <c r="I203" s="32" t="s">
        <v>13</v>
      </c>
      <c r="J203" s="21"/>
      <c r="K203" s="40">
        <f>+C202-J202*M202/P202+S202*V202</f>
        <v>60.214886363636367</v>
      </c>
      <c r="L203" s="40"/>
      <c r="M203" s="23" t="s">
        <v>11</v>
      </c>
      <c r="N203" s="18">
        <v>0</v>
      </c>
      <c r="O203" s="18"/>
      <c r="P203" s="18"/>
      <c r="Q203" s="18"/>
      <c r="R203" s="18"/>
      <c r="S203" s="18"/>
      <c r="T203" s="18" t="s">
        <v>15</v>
      </c>
      <c r="U203" s="40">
        <f>(-G203+SQRT(G203^2-4*C203*K203))/(2*C203)</f>
        <v>-10.943247048511168</v>
      </c>
      <c r="V203" s="40"/>
      <c r="W203" s="18" t="s">
        <v>0</v>
      </c>
      <c r="X203" s="18"/>
      <c r="Y203" s="18"/>
      <c r="Z203" s="18"/>
      <c r="AA203" s="18" t="s">
        <v>15</v>
      </c>
      <c r="AB203" s="40">
        <f>(-G203-SQRT(G203^2-4*C203*K203))/(2*C203)</f>
        <v>2.6570310695822821</v>
      </c>
      <c r="AC203" s="40"/>
      <c r="AD203" s="18" t="s">
        <v>0</v>
      </c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6"/>
      <c r="AQ203" s="6"/>
      <c r="AR203" s="6"/>
      <c r="AS203" s="6"/>
      <c r="AT203" s="6"/>
      <c r="AU203" s="6"/>
      <c r="BB203" s="5"/>
    </row>
    <row r="204" spans="1:63" x14ac:dyDescent="0.2">
      <c r="B204" s="4"/>
      <c r="C204" s="18" t="s">
        <v>15</v>
      </c>
      <c r="D204" s="40">
        <f>IF(U203&gt;0,U203,IF(AB203&gt;0,AB203,"hatalı"))</f>
        <v>2.6570310695822821</v>
      </c>
      <c r="E204" s="40"/>
      <c r="F204" s="18" t="s">
        <v>0</v>
      </c>
      <c r="G204" s="18"/>
      <c r="H204" s="6" t="s">
        <v>75</v>
      </c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6"/>
      <c r="AQ204" s="6"/>
      <c r="AR204" s="6"/>
      <c r="AS204" s="6"/>
      <c r="AT204" s="6"/>
      <c r="AU204" s="6"/>
      <c r="BB204" s="5"/>
    </row>
    <row r="205" spans="1:63" x14ac:dyDescent="0.2">
      <c r="B205" s="4"/>
      <c r="C205" s="18" t="s">
        <v>18</v>
      </c>
      <c r="D205" s="18"/>
      <c r="E205" s="40">
        <f>+Y169</f>
        <v>51.934886363636366</v>
      </c>
      <c r="F205" s="40"/>
      <c r="G205" s="23" t="s">
        <v>9</v>
      </c>
      <c r="H205" s="40">
        <f>+D204</f>
        <v>2.6570310695822821</v>
      </c>
      <c r="I205" s="40"/>
      <c r="J205" s="23" t="s">
        <v>8</v>
      </c>
      <c r="K205" s="40">
        <v>0.5</v>
      </c>
      <c r="L205" s="40"/>
      <c r="M205" s="23" t="s">
        <v>9</v>
      </c>
      <c r="N205" s="40">
        <f>+Y159</f>
        <v>8.8800000000000008</v>
      </c>
      <c r="O205" s="40"/>
      <c r="P205" s="23" t="s">
        <v>9</v>
      </c>
      <c r="Q205" s="40">
        <f>+D204</f>
        <v>2.6570310695822821</v>
      </c>
      <c r="R205" s="40"/>
      <c r="S205" s="18" t="s">
        <v>17</v>
      </c>
      <c r="T205" s="40">
        <f>+V170</f>
        <v>2</v>
      </c>
      <c r="U205" s="40"/>
      <c r="V205" s="23" t="s">
        <v>9</v>
      </c>
      <c r="W205" s="40">
        <f>+X155</f>
        <v>8.2799999999999994</v>
      </c>
      <c r="X205" s="40"/>
      <c r="Y205" s="18" t="s">
        <v>10</v>
      </c>
      <c r="Z205" s="18">
        <v>2</v>
      </c>
      <c r="AA205" s="23" t="s">
        <v>9</v>
      </c>
      <c r="AB205" s="40">
        <f>(D204-V170)+V170/3</f>
        <v>1.3236977362489486</v>
      </c>
      <c r="AC205" s="40"/>
      <c r="AD205" s="23" t="s">
        <v>8</v>
      </c>
      <c r="AE205" s="40">
        <f>+X155</f>
        <v>8.2799999999999994</v>
      </c>
      <c r="AF205" s="40"/>
      <c r="AG205" s="23" t="s">
        <v>9</v>
      </c>
      <c r="AH205" s="40">
        <f>+D204-V170</f>
        <v>0.65703106958228208</v>
      </c>
      <c r="AI205" s="40"/>
      <c r="AJ205" s="18" t="s">
        <v>59</v>
      </c>
      <c r="AK205" s="18">
        <v>2</v>
      </c>
      <c r="AL205" s="20" t="s">
        <v>8</v>
      </c>
      <c r="AM205" s="40">
        <f>+T152</f>
        <v>11.39</v>
      </c>
      <c r="AN205" s="40"/>
      <c r="AO205" s="23" t="s">
        <v>9</v>
      </c>
      <c r="AP205" s="40">
        <f>+D204</f>
        <v>2.6570310695822821</v>
      </c>
      <c r="AQ205" s="40"/>
      <c r="AR205" s="18" t="s">
        <v>10</v>
      </c>
      <c r="AS205" s="40">
        <f>+Q172/2</f>
        <v>2.75</v>
      </c>
      <c r="AT205" s="40"/>
      <c r="AU205" s="23" t="s">
        <v>9</v>
      </c>
      <c r="AV205" s="40">
        <f>+D204</f>
        <v>2.6570310695822821</v>
      </c>
      <c r="AW205" s="40"/>
      <c r="AX205" s="18" t="s">
        <v>10</v>
      </c>
      <c r="AY205" s="21"/>
      <c r="BB205" s="5"/>
    </row>
    <row r="206" spans="1:63" x14ac:dyDescent="0.2">
      <c r="B206" s="4"/>
      <c r="C206" s="18"/>
      <c r="D206" s="18" t="s">
        <v>10</v>
      </c>
      <c r="E206" s="18">
        <v>2</v>
      </c>
      <c r="F206" s="23" t="s">
        <v>9</v>
      </c>
      <c r="G206" s="40">
        <f>+AV205</f>
        <v>2.6570310695822821</v>
      </c>
      <c r="H206" s="40"/>
      <c r="I206" s="18" t="s">
        <v>10</v>
      </c>
      <c r="J206" s="18">
        <v>3</v>
      </c>
      <c r="K206" s="23" t="s">
        <v>8</v>
      </c>
      <c r="L206" s="40">
        <f>+AC165</f>
        <v>48.07</v>
      </c>
      <c r="M206" s="40"/>
      <c r="N206" s="23" t="s">
        <v>11</v>
      </c>
      <c r="O206" s="40">
        <f>E205*H205-K205*N205*Q205^2-T205*W205/Z205*AB205-AE205*AH205^2/AK205-AM205*AP205/AS205*AV205/E206*G206/J206-L206</f>
        <v>32.880814273517096</v>
      </c>
      <c r="P206" s="40"/>
      <c r="Q206" s="18" t="s">
        <v>2</v>
      </c>
      <c r="R206" s="23"/>
      <c r="S206" s="18"/>
      <c r="T206" s="23"/>
      <c r="U206" s="23"/>
      <c r="V206" s="23"/>
      <c r="W206" s="23"/>
      <c r="X206" s="23"/>
      <c r="Y206" s="18"/>
      <c r="Z206" s="18"/>
      <c r="AA206" s="23"/>
      <c r="AB206" s="18"/>
      <c r="AC206" s="18"/>
      <c r="AD206" s="23"/>
      <c r="AE206" s="23"/>
      <c r="AF206" s="23"/>
      <c r="AG206" s="23"/>
      <c r="AH206" s="23"/>
      <c r="AI206" s="23"/>
      <c r="AJ206" s="18"/>
      <c r="AK206" s="18"/>
      <c r="AL206" s="23"/>
      <c r="AM206" s="23"/>
      <c r="AN206" s="23"/>
      <c r="AO206" s="23"/>
      <c r="AP206" s="23"/>
      <c r="AQ206" s="23"/>
      <c r="AR206" s="18"/>
      <c r="AS206" s="18"/>
      <c r="AT206" s="18"/>
      <c r="AU206" s="18"/>
      <c r="AV206" s="21"/>
      <c r="AW206" s="21"/>
      <c r="AX206" s="21"/>
      <c r="AY206" s="21"/>
      <c r="BB206" s="5"/>
    </row>
    <row r="207" spans="1:63" x14ac:dyDescent="0.2">
      <c r="B207" s="4"/>
      <c r="C207" s="6" t="s">
        <v>65</v>
      </c>
      <c r="D207" s="6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6"/>
      <c r="T207" s="10"/>
      <c r="U207" s="10"/>
      <c r="V207" s="10"/>
      <c r="W207" s="10"/>
      <c r="X207" s="10"/>
      <c r="Y207" s="6"/>
      <c r="Z207" s="6"/>
      <c r="AA207" s="10"/>
      <c r="AB207" s="10"/>
      <c r="AC207" s="10"/>
      <c r="AD207" s="10"/>
      <c r="AE207" s="10"/>
      <c r="AF207" s="10"/>
      <c r="AG207" s="10"/>
      <c r="AH207" s="10"/>
      <c r="AI207" s="10"/>
      <c r="AJ207" s="6"/>
      <c r="AK207" s="6"/>
      <c r="AL207" s="10"/>
      <c r="AM207" s="10"/>
      <c r="AN207" s="10"/>
      <c r="AO207" s="10"/>
      <c r="AP207" s="10"/>
      <c r="AQ207" s="10"/>
      <c r="AR207" s="6"/>
      <c r="AS207" s="6"/>
      <c r="AT207" s="6"/>
      <c r="AU207" s="6"/>
      <c r="BB207" s="5"/>
    </row>
    <row r="208" spans="1:63" x14ac:dyDescent="0.2">
      <c r="B208" s="4"/>
      <c r="C208" s="40">
        <f>+Y169</f>
        <v>51.934886363636366</v>
      </c>
      <c r="D208" s="40"/>
      <c r="E208" s="23" t="s">
        <v>8</v>
      </c>
      <c r="F208" s="40">
        <f>+Y159</f>
        <v>8.8800000000000008</v>
      </c>
      <c r="G208" s="40"/>
      <c r="H208" s="18" t="s">
        <v>52</v>
      </c>
      <c r="I208" s="18"/>
      <c r="J208" s="40">
        <f>+X155</f>
        <v>8.2799999999999994</v>
      </c>
      <c r="K208" s="40"/>
      <c r="L208" s="18" t="s">
        <v>57</v>
      </c>
      <c r="M208" s="18"/>
      <c r="N208" s="40">
        <f>+V170</f>
        <v>2</v>
      </c>
      <c r="O208" s="40"/>
      <c r="P208" s="18" t="s">
        <v>58</v>
      </c>
      <c r="Q208" s="18"/>
      <c r="R208" s="18">
        <v>2</v>
      </c>
      <c r="S208" s="20" t="s">
        <v>8</v>
      </c>
      <c r="T208" s="39">
        <f>+T152</f>
        <v>11.39</v>
      </c>
      <c r="U208" s="39"/>
      <c r="V208" s="18" t="s">
        <v>57</v>
      </c>
      <c r="W208" s="18"/>
      <c r="X208" s="40">
        <f>+Q172/2</f>
        <v>2.75</v>
      </c>
      <c r="Y208" s="40"/>
      <c r="Z208" s="21" t="s">
        <v>73</v>
      </c>
      <c r="AA208" s="21"/>
      <c r="AB208" s="18">
        <v>2</v>
      </c>
      <c r="AC208" s="23" t="s">
        <v>11</v>
      </c>
      <c r="AD208" s="18">
        <v>0</v>
      </c>
      <c r="AE208" s="18"/>
      <c r="AF208" s="18"/>
      <c r="AG208" s="18"/>
      <c r="AH208" s="18"/>
      <c r="AI208" s="18"/>
      <c r="AJ208" s="18"/>
      <c r="AK208" s="18"/>
      <c r="AL208" s="18"/>
      <c r="AM208" s="18"/>
      <c r="AN208" s="6"/>
      <c r="AO208" s="6"/>
      <c r="AP208" s="6"/>
      <c r="AQ208" s="6"/>
      <c r="AR208" s="6"/>
      <c r="AS208" s="6"/>
      <c r="AT208" s="6"/>
      <c r="AU208" s="6"/>
      <c r="BB208" s="5"/>
    </row>
    <row r="209" spans="2:54" x14ac:dyDescent="0.2">
      <c r="B209" s="4"/>
      <c r="C209" s="40">
        <f>-J208/N208/R208-T208/X208/AB208</f>
        <v>-4.1409090909090907</v>
      </c>
      <c r="D209" s="40"/>
      <c r="E209" s="18" t="s">
        <v>16</v>
      </c>
      <c r="F209" s="18"/>
      <c r="G209" s="40">
        <f>-F208</f>
        <v>-8.8800000000000008</v>
      </c>
      <c r="H209" s="40"/>
      <c r="I209" s="32" t="s">
        <v>13</v>
      </c>
      <c r="J209" s="21"/>
      <c r="K209" s="40">
        <f>+C208</f>
        <v>51.934886363636366</v>
      </c>
      <c r="L209" s="40"/>
      <c r="M209" s="23" t="s">
        <v>11</v>
      </c>
      <c r="N209" s="18">
        <v>0</v>
      </c>
      <c r="O209" s="18"/>
      <c r="P209" s="18"/>
      <c r="Q209" s="18"/>
      <c r="R209" s="18"/>
      <c r="S209" s="18"/>
      <c r="T209" s="18" t="s">
        <v>15</v>
      </c>
      <c r="U209" s="40">
        <f>(-G209+SQRT(G209^2-4*C209*K209))/(2*C209)</f>
        <v>-4.7724415673396727</v>
      </c>
      <c r="V209" s="40"/>
      <c r="W209" s="18" t="s">
        <v>0</v>
      </c>
      <c r="X209" s="18"/>
      <c r="Y209" s="18"/>
      <c r="Z209" s="18"/>
      <c r="AA209" s="18" t="s">
        <v>15</v>
      </c>
      <c r="AB209" s="40">
        <f>(-G209-SQRT(G209^2-4*C209*K209))/(2*C209)</f>
        <v>2.6279849262858863</v>
      </c>
      <c r="AC209" s="40"/>
      <c r="AD209" s="18" t="s">
        <v>0</v>
      </c>
      <c r="AE209" s="18"/>
      <c r="AF209" s="18"/>
      <c r="AG209" s="18"/>
      <c r="AH209" s="18"/>
      <c r="AI209" s="18"/>
      <c r="AJ209" s="18"/>
      <c r="AK209" s="18"/>
      <c r="AL209" s="18"/>
      <c r="AM209" s="18"/>
      <c r="AN209" s="6"/>
      <c r="AO209" s="6"/>
      <c r="AP209" s="6"/>
      <c r="AQ209" s="6"/>
      <c r="AR209" s="6"/>
      <c r="AS209" s="6"/>
      <c r="AT209" s="6"/>
      <c r="AU209" s="6"/>
      <c r="BB209" s="5"/>
    </row>
    <row r="210" spans="2:54" x14ac:dyDescent="0.2">
      <c r="B210" s="4"/>
      <c r="C210" s="18" t="s">
        <v>15</v>
      </c>
      <c r="D210" s="40">
        <f>IF(U209&gt;0,U209,IF(AB209&gt;0,AB209,"hatalı"))</f>
        <v>2.6279849262858863</v>
      </c>
      <c r="E210" s="40"/>
      <c r="F210" s="18" t="s">
        <v>0</v>
      </c>
      <c r="G210" s="18"/>
      <c r="H210" s="6" t="s">
        <v>75</v>
      </c>
      <c r="I210" s="23"/>
      <c r="J210" s="21"/>
      <c r="K210" s="21"/>
      <c r="L210" s="21"/>
      <c r="M210" s="21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6"/>
      <c r="AO210" s="6"/>
      <c r="AP210" s="6"/>
      <c r="AQ210" s="6"/>
      <c r="AR210" s="6"/>
      <c r="AS210" s="6"/>
      <c r="AT210" s="6"/>
      <c r="AU210" s="6"/>
      <c r="BB210" s="5"/>
    </row>
    <row r="211" spans="2:54" x14ac:dyDescent="0.2">
      <c r="B211" s="4"/>
      <c r="C211" s="18" t="s">
        <v>18</v>
      </c>
      <c r="D211" s="18"/>
      <c r="E211" s="40">
        <f>+Y169</f>
        <v>51.934886363636366</v>
      </c>
      <c r="F211" s="40"/>
      <c r="G211" s="23" t="s">
        <v>9</v>
      </c>
      <c r="H211" s="40">
        <f>+D210</f>
        <v>2.6279849262858863</v>
      </c>
      <c r="I211" s="40"/>
      <c r="J211" s="23" t="s">
        <v>8</v>
      </c>
      <c r="K211" s="40">
        <v>0.5</v>
      </c>
      <c r="L211" s="40"/>
      <c r="M211" s="23" t="s">
        <v>9</v>
      </c>
      <c r="N211" s="40">
        <f>+Y159</f>
        <v>8.8800000000000008</v>
      </c>
      <c r="O211" s="40"/>
      <c r="P211" s="23" t="s">
        <v>9</v>
      </c>
      <c r="Q211" s="40">
        <f>+D210</f>
        <v>2.6279849262858863</v>
      </c>
      <c r="R211" s="40"/>
      <c r="S211" s="18" t="s">
        <v>17</v>
      </c>
      <c r="T211" s="40">
        <f>+D210</f>
        <v>2.6279849262858863</v>
      </c>
      <c r="U211" s="40"/>
      <c r="V211" s="23" t="s">
        <v>9</v>
      </c>
      <c r="W211" s="40">
        <f>+X155</f>
        <v>8.2799999999999994</v>
      </c>
      <c r="X211" s="40"/>
      <c r="Y211" s="18" t="s">
        <v>10</v>
      </c>
      <c r="Z211" s="40">
        <f>+V170</f>
        <v>2</v>
      </c>
      <c r="AA211" s="40"/>
      <c r="AB211" s="23" t="s">
        <v>9</v>
      </c>
      <c r="AC211" s="40">
        <f>+D210</f>
        <v>2.6279849262858863</v>
      </c>
      <c r="AD211" s="40"/>
      <c r="AE211" s="18" t="s">
        <v>10</v>
      </c>
      <c r="AF211" s="18">
        <v>2</v>
      </c>
      <c r="AG211" s="23" t="s">
        <v>9</v>
      </c>
      <c r="AH211" s="40">
        <f>+D210</f>
        <v>2.6279849262858863</v>
      </c>
      <c r="AI211" s="40"/>
      <c r="AJ211" s="18" t="s">
        <v>10</v>
      </c>
      <c r="AK211" s="18">
        <v>3</v>
      </c>
      <c r="AL211" s="23" t="s">
        <v>8</v>
      </c>
      <c r="AM211" s="40">
        <f>+D210</f>
        <v>2.6279849262858863</v>
      </c>
      <c r="AN211" s="40"/>
      <c r="AO211" s="23" t="s">
        <v>9</v>
      </c>
      <c r="AP211" s="40">
        <f>+T152</f>
        <v>11.39</v>
      </c>
      <c r="AQ211" s="40"/>
      <c r="AR211" s="18" t="s">
        <v>10</v>
      </c>
      <c r="AS211" s="40">
        <f>+Q172/2</f>
        <v>2.75</v>
      </c>
      <c r="AT211" s="40"/>
      <c r="AU211" s="23" t="s">
        <v>9</v>
      </c>
      <c r="AV211" s="40">
        <f>+AM211</f>
        <v>2.6279849262858863</v>
      </c>
      <c r="AW211" s="40"/>
      <c r="AX211" s="18" t="s">
        <v>10</v>
      </c>
      <c r="AY211" s="21"/>
      <c r="BB211" s="5"/>
    </row>
    <row r="212" spans="2:54" x14ac:dyDescent="0.2">
      <c r="B212" s="4"/>
      <c r="C212" s="18"/>
      <c r="D212" s="18" t="s">
        <v>10</v>
      </c>
      <c r="E212" s="18">
        <v>2</v>
      </c>
      <c r="F212" s="23" t="s">
        <v>9</v>
      </c>
      <c r="G212" s="40">
        <f>+AV211</f>
        <v>2.6279849262858863</v>
      </c>
      <c r="H212" s="40"/>
      <c r="I212" s="18" t="s">
        <v>10</v>
      </c>
      <c r="J212" s="18">
        <v>3</v>
      </c>
      <c r="K212" s="20" t="s">
        <v>8</v>
      </c>
      <c r="L212" s="40">
        <f>+AC165</f>
        <v>48.07</v>
      </c>
      <c r="M212" s="40"/>
      <c r="N212" s="23" t="s">
        <v>11</v>
      </c>
      <c r="O212" s="40">
        <f>E211*H211-K211*N211*Q211^2-T211*W211/Z211*AC211/AF211*AH211/AK211-AM211*AP211/AS211*AV211/E212*G212/J212-L212</f>
        <v>32.698067944281483</v>
      </c>
      <c r="P212" s="40"/>
      <c r="Q212" s="18" t="s">
        <v>2</v>
      </c>
      <c r="R212" s="23"/>
      <c r="S212" s="18"/>
      <c r="T212" s="23"/>
      <c r="U212" s="23"/>
      <c r="V212" s="23"/>
      <c r="W212" s="23"/>
      <c r="X212" s="23"/>
      <c r="Y212" s="18"/>
      <c r="Z212" s="23"/>
      <c r="AA212" s="23"/>
      <c r="AB212" s="23"/>
      <c r="AC212" s="23"/>
      <c r="AD212" s="23"/>
      <c r="AE212" s="18"/>
      <c r="AF212" s="18"/>
      <c r="AG212" s="23"/>
      <c r="AH212" s="23"/>
      <c r="AI212" s="23"/>
      <c r="AJ212" s="18"/>
      <c r="AK212" s="18"/>
      <c r="AL212" s="23"/>
      <c r="AM212" s="23"/>
      <c r="AN212" s="21"/>
      <c r="AO212" s="21"/>
      <c r="AP212" s="21"/>
      <c r="AQ212" s="21"/>
      <c r="AR212" s="21"/>
      <c r="AS212" s="21"/>
      <c r="AT212" s="18"/>
      <c r="AU212" s="18"/>
      <c r="AV212" s="21"/>
      <c r="AW212" s="21"/>
      <c r="AX212" s="21"/>
      <c r="AY212" s="21"/>
      <c r="BB212" s="5"/>
    </row>
    <row r="213" spans="2:54" x14ac:dyDescent="0.2">
      <c r="B213" s="4"/>
      <c r="C213" s="6" t="s">
        <v>36</v>
      </c>
      <c r="D213" s="6"/>
      <c r="E213" s="24"/>
      <c r="F213" s="24"/>
      <c r="G213" s="13"/>
      <c r="H213" s="24"/>
      <c r="I213" s="36">
        <f>IF(OR(AND(I169&lt;=Y169,AD186&gt;0,I169&gt;0),AND(I169&lt;=Y169,AD186&lt;0,I169&lt;0)),O192,IF(OR(AND(I169&lt;=Y169,AD186&lt;0,I169&gt;0),AND(I169&lt;=Y169,AD186&gt;0,I169&lt;0)),O198,IF(OR(AND(I169&gt;Y169,AD200&gt;0,Y169&gt;0),AND(I169&gt;Y169,AD200&lt;0,Y169&lt;0)),O206,IF(OR(AND(I169&gt;Y169,AD200&lt;0,Y169&gt;0),AND(I169&gt;Y169,AD200&gt;0,Y169&lt;0)),O212,"HATALI"))))</f>
        <v>32.880814273517096</v>
      </c>
      <c r="J213" s="36"/>
      <c r="K213" s="36"/>
      <c r="L213" s="11" t="s">
        <v>2</v>
      </c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5"/>
    </row>
    <row r="214" spans="2:54" x14ac:dyDescent="0.2">
      <c r="B214" s="4"/>
      <c r="C214" s="6" t="s">
        <v>28</v>
      </c>
      <c r="D214" s="6"/>
      <c r="E214" s="24"/>
      <c r="F214" s="24"/>
      <c r="G214" s="13"/>
      <c r="H214" s="24"/>
      <c r="I214" s="14" t="str">
        <f>IF(I169&lt;=Y169,"sol mesnetten","sağ mesnetten")</f>
        <v>sağ mesnetten</v>
      </c>
      <c r="J214" s="6"/>
      <c r="K214" s="6"/>
      <c r="L214" s="6"/>
      <c r="M214" s="6"/>
      <c r="N214" s="11" t="s">
        <v>15</v>
      </c>
      <c r="O214" s="36">
        <f>IF(OR(AND(I169&lt;=Y169,AD186&gt;0,I169&gt;0),AND(I169&lt;=Y169,AD186&lt;0,I169&lt;0)),D190,IF(OR(AND(I169&lt;=Y169,AD186&lt;0,I169&gt;0),AND(I169&lt;=Y169,AD186&gt;0,I169&lt;0)),D196,IF(OR(AND(I169&gt;Y169,AD200&gt;0,Y169&gt;0),AND(I169&gt;Y169,AD200&lt;0,Y169&lt;0)),D204,IF(OR(AND(I169&gt;Y169,AD200&lt;0,Y169&gt;0),AND(I169&gt;Y169,AD200&gt;0,Y169&lt;0)),D210,"HATALI"))))</f>
        <v>2.6570310695822821</v>
      </c>
      <c r="P214" s="36"/>
      <c r="Q214" s="36"/>
      <c r="R214" s="6" t="s">
        <v>37</v>
      </c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5"/>
    </row>
    <row r="215" spans="2:54" x14ac:dyDescent="0.2">
      <c r="B215" s="4"/>
      <c r="C215" s="9" t="s">
        <v>31</v>
      </c>
      <c r="D215" s="6"/>
      <c r="E215" s="24"/>
      <c r="F215" s="24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5"/>
    </row>
    <row r="216" spans="2:54" x14ac:dyDescent="0.2">
      <c r="B216" s="4"/>
      <c r="C216" s="6" t="s">
        <v>24</v>
      </c>
      <c r="D216" s="6"/>
      <c r="E216" s="35">
        <f>+I169</f>
        <v>57.207613636363639</v>
      </c>
      <c r="F216" s="35"/>
      <c r="G216" s="24" t="s">
        <v>8</v>
      </c>
      <c r="H216" s="35">
        <f>+Y159</f>
        <v>8.8800000000000008</v>
      </c>
      <c r="I216" s="35"/>
      <c r="J216" s="24" t="s">
        <v>9</v>
      </c>
      <c r="K216" s="35">
        <f>+I174/2</f>
        <v>0.25</v>
      </c>
      <c r="L216" s="35"/>
      <c r="M216" s="24" t="s">
        <v>8</v>
      </c>
      <c r="N216" s="35">
        <f>I174/2</f>
        <v>0.25</v>
      </c>
      <c r="O216" s="35"/>
      <c r="P216" s="24" t="s">
        <v>9</v>
      </c>
      <c r="Q216" s="35">
        <f>+X155</f>
        <v>8.2799999999999994</v>
      </c>
      <c r="R216" s="35"/>
      <c r="S216" s="6" t="s">
        <v>10</v>
      </c>
      <c r="T216" s="35">
        <f>+K170</f>
        <v>2</v>
      </c>
      <c r="U216" s="35"/>
      <c r="V216" s="24" t="s">
        <v>9</v>
      </c>
      <c r="W216" s="35">
        <f>+I174/2</f>
        <v>0.25</v>
      </c>
      <c r="X216" s="35"/>
      <c r="Y216" s="6" t="s">
        <v>10</v>
      </c>
      <c r="Z216" s="6">
        <v>2</v>
      </c>
      <c r="AA216" s="24" t="s">
        <v>8</v>
      </c>
      <c r="AB216" s="35">
        <f>+I174/2</f>
        <v>0.25</v>
      </c>
      <c r="AC216" s="35"/>
      <c r="AD216" s="24" t="s">
        <v>9</v>
      </c>
      <c r="AE216" s="35">
        <f>+W153</f>
        <v>8.2836363636363632</v>
      </c>
      <c r="AF216" s="35"/>
      <c r="AG216" s="6" t="s">
        <v>10</v>
      </c>
      <c r="AH216" s="35">
        <f>+K170</f>
        <v>2</v>
      </c>
      <c r="AI216" s="35"/>
      <c r="AJ216" s="24" t="s">
        <v>9</v>
      </c>
      <c r="AK216" s="35">
        <f>+I174/2</f>
        <v>0.25</v>
      </c>
      <c r="AL216" s="35"/>
      <c r="AM216" s="6" t="s">
        <v>10</v>
      </c>
      <c r="AN216" s="6">
        <v>2</v>
      </c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5"/>
    </row>
    <row r="217" spans="2:54" x14ac:dyDescent="0.2">
      <c r="B217" s="4"/>
      <c r="C217" s="14" t="s">
        <v>24</v>
      </c>
      <c r="D217" s="11"/>
      <c r="E217" s="36">
        <f>+E216-H216*K216-N216*Q216/T216*W216/Z216-AB216*AE216/AH216*AK216/AN216</f>
        <v>54.728806818181816</v>
      </c>
      <c r="F217" s="36"/>
      <c r="G217" s="36"/>
      <c r="H217" s="11" t="s">
        <v>4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5"/>
    </row>
    <row r="218" spans="2:54" x14ac:dyDescent="0.2">
      <c r="B218" s="4"/>
      <c r="C218" s="9" t="s">
        <v>32</v>
      </c>
      <c r="D218" s="6"/>
      <c r="E218" s="24"/>
      <c r="F218" s="24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5"/>
    </row>
    <row r="219" spans="2:54" x14ac:dyDescent="0.2">
      <c r="B219" s="4"/>
      <c r="C219" s="6" t="s">
        <v>25</v>
      </c>
      <c r="D219" s="6"/>
      <c r="E219" s="6"/>
      <c r="F219" s="35">
        <f>+Y169</f>
        <v>51.934886363636366</v>
      </c>
      <c r="G219" s="35"/>
      <c r="H219" s="24" t="s">
        <v>8</v>
      </c>
      <c r="I219" s="35">
        <f>+Y159</f>
        <v>8.8800000000000008</v>
      </c>
      <c r="J219" s="35"/>
      <c r="K219" s="24" t="s">
        <v>9</v>
      </c>
      <c r="L219" s="35">
        <f>+Y174/2</f>
        <v>0.3</v>
      </c>
      <c r="M219" s="35"/>
      <c r="N219" s="24" t="s">
        <v>8</v>
      </c>
      <c r="O219" s="35">
        <f>+Y174/2</f>
        <v>0.3</v>
      </c>
      <c r="P219" s="35"/>
      <c r="Q219" s="24" t="s">
        <v>9</v>
      </c>
      <c r="R219" s="35">
        <f>+X155</f>
        <v>8.2799999999999994</v>
      </c>
      <c r="S219" s="35"/>
      <c r="T219" s="6" t="s">
        <v>10</v>
      </c>
      <c r="U219" s="35">
        <f>+V170</f>
        <v>2</v>
      </c>
      <c r="V219" s="35"/>
      <c r="W219" s="24" t="s">
        <v>9</v>
      </c>
      <c r="X219" s="35">
        <f>+Y174/2</f>
        <v>0.3</v>
      </c>
      <c r="Y219" s="35"/>
      <c r="Z219" s="6" t="s">
        <v>10</v>
      </c>
      <c r="AA219" s="6">
        <v>2</v>
      </c>
      <c r="AB219" s="24" t="s">
        <v>8</v>
      </c>
      <c r="AC219" s="35">
        <f>+Y174/2</f>
        <v>0.3</v>
      </c>
      <c r="AD219" s="35"/>
      <c r="AE219" s="24" t="s">
        <v>9</v>
      </c>
      <c r="AF219" s="35">
        <f>+W153</f>
        <v>8.2836363636363632</v>
      </c>
      <c r="AG219" s="35"/>
      <c r="AH219" s="6" t="s">
        <v>10</v>
      </c>
      <c r="AI219" s="35">
        <f>+V170</f>
        <v>2</v>
      </c>
      <c r="AJ219" s="35"/>
      <c r="AK219" s="24" t="s">
        <v>9</v>
      </c>
      <c r="AL219" s="35">
        <f>+Y174/2</f>
        <v>0.3</v>
      </c>
      <c r="AM219" s="35"/>
      <c r="AN219" s="6" t="s">
        <v>10</v>
      </c>
      <c r="AO219" s="6">
        <v>2</v>
      </c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5"/>
    </row>
    <row r="220" spans="2:54" x14ac:dyDescent="0.2">
      <c r="B220" s="4"/>
      <c r="C220" s="14" t="s">
        <v>25</v>
      </c>
      <c r="D220" s="11"/>
      <c r="E220" s="11"/>
      <c r="F220" s="36">
        <f>+F219-I219*L219-O219*R219/U219*X219/AA219-AC219*AF219/AI219*AL219/AO219</f>
        <v>48.898204545454547</v>
      </c>
      <c r="G220" s="36"/>
      <c r="H220" s="36"/>
      <c r="I220" s="11" t="s">
        <v>4</v>
      </c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5"/>
    </row>
    <row r="221" spans="2:54" x14ac:dyDescent="0.2">
      <c r="B221" s="4"/>
      <c r="C221" s="9" t="s">
        <v>33</v>
      </c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5"/>
    </row>
    <row r="222" spans="2:54" x14ac:dyDescent="0.2">
      <c r="B222" s="4"/>
      <c r="C222" s="6" t="s">
        <v>24</v>
      </c>
      <c r="D222" s="6"/>
      <c r="E222" s="35">
        <f>+I169</f>
        <v>57.207613636363639</v>
      </c>
      <c r="F222" s="35"/>
      <c r="G222" s="24" t="s">
        <v>8</v>
      </c>
      <c r="H222" s="35">
        <f>+Y159</f>
        <v>8.8800000000000008</v>
      </c>
      <c r="I222" s="35"/>
      <c r="J222" s="24" t="s">
        <v>9</v>
      </c>
      <c r="K222" s="35">
        <f>+I174/2+AQ164</f>
        <v>0.81</v>
      </c>
      <c r="L222" s="35"/>
      <c r="M222" s="24" t="s">
        <v>8</v>
      </c>
      <c r="N222" s="35">
        <f>+I174/2+AQ164</f>
        <v>0.81</v>
      </c>
      <c r="O222" s="35"/>
      <c r="P222" s="24" t="s">
        <v>9</v>
      </c>
      <c r="Q222" s="35">
        <f>+X155</f>
        <v>8.2799999999999994</v>
      </c>
      <c r="R222" s="35"/>
      <c r="S222" s="6" t="s">
        <v>10</v>
      </c>
      <c r="T222" s="35">
        <f>+K170</f>
        <v>2</v>
      </c>
      <c r="U222" s="35"/>
      <c r="V222" s="24" t="s">
        <v>9</v>
      </c>
      <c r="W222" s="35">
        <f>+I174/2+AQ164</f>
        <v>0.81</v>
      </c>
      <c r="X222" s="35"/>
      <c r="Y222" s="6" t="s">
        <v>10</v>
      </c>
      <c r="Z222" s="6">
        <v>2</v>
      </c>
      <c r="AA222" s="24" t="s">
        <v>8</v>
      </c>
      <c r="AB222" s="35">
        <f>+I174/2+AQ164</f>
        <v>0.81</v>
      </c>
      <c r="AC222" s="35"/>
      <c r="AD222" s="24" t="s">
        <v>9</v>
      </c>
      <c r="AE222" s="35">
        <f>+W153</f>
        <v>8.2836363636363632</v>
      </c>
      <c r="AF222" s="35"/>
      <c r="AG222" s="6" t="s">
        <v>10</v>
      </c>
      <c r="AH222" s="35">
        <f>+V170</f>
        <v>2</v>
      </c>
      <c r="AI222" s="35"/>
      <c r="AJ222" s="24" t="s">
        <v>9</v>
      </c>
      <c r="AK222" s="35">
        <f>+I174/2+AQ164</f>
        <v>0.81</v>
      </c>
      <c r="AL222" s="35"/>
      <c r="AM222" s="6" t="s">
        <v>10</v>
      </c>
      <c r="AN222" s="6">
        <v>2</v>
      </c>
      <c r="AO222" s="33" t="s">
        <v>11</v>
      </c>
      <c r="AP222" s="35">
        <f>+E222-H222*K222-N222*Q222/T222*W222/Z222-AB222*AE222/AH222*AK222/AN222</f>
        <v>47.297963181818183</v>
      </c>
      <c r="AQ222" s="35"/>
      <c r="AR222" s="35"/>
      <c r="AS222" s="6" t="s">
        <v>4</v>
      </c>
      <c r="AT222" s="6"/>
      <c r="AU222" s="6"/>
      <c r="AV222" s="6"/>
      <c r="AW222" s="6"/>
      <c r="AX222" s="6"/>
      <c r="AY222" s="6"/>
      <c r="AZ222" s="6"/>
      <c r="BA222" s="6"/>
      <c r="BB222" s="5"/>
    </row>
    <row r="223" spans="2:54" x14ac:dyDescent="0.2">
      <c r="B223" s="4"/>
      <c r="C223" s="6" t="s">
        <v>24</v>
      </c>
      <c r="D223" s="6"/>
      <c r="E223" s="35">
        <f>+I169</f>
        <v>57.207613636363639</v>
      </c>
      <c r="F223" s="35"/>
      <c r="G223" s="33" t="s">
        <v>8</v>
      </c>
      <c r="H223" s="35">
        <f>+Y159</f>
        <v>8.8800000000000008</v>
      </c>
      <c r="I223" s="35"/>
      <c r="J223" s="33" t="s">
        <v>9</v>
      </c>
      <c r="K223" s="35">
        <f>+I174/2+AQ164</f>
        <v>0.81</v>
      </c>
      <c r="L223" s="35"/>
      <c r="M223" s="33" t="s">
        <v>8</v>
      </c>
      <c r="N223" s="35">
        <f>+K170</f>
        <v>2</v>
      </c>
      <c r="O223" s="35"/>
      <c r="P223" s="33" t="s">
        <v>9</v>
      </c>
      <c r="Q223" s="35">
        <f>+X155</f>
        <v>8.2799999999999994</v>
      </c>
      <c r="R223" s="35"/>
      <c r="S223" s="6" t="s">
        <v>10</v>
      </c>
      <c r="T223" s="6">
        <v>2</v>
      </c>
      <c r="U223" s="33" t="s">
        <v>8</v>
      </c>
      <c r="V223" s="35">
        <f>+X155</f>
        <v>8.2799999999999994</v>
      </c>
      <c r="W223" s="35"/>
      <c r="X223" s="34" t="s">
        <v>9</v>
      </c>
      <c r="Y223" s="35">
        <f>+I174/2+AQ164-K170</f>
        <v>-1.19</v>
      </c>
      <c r="Z223" s="35"/>
      <c r="AA223" s="33" t="s">
        <v>8</v>
      </c>
      <c r="AB223" s="35">
        <f>+I174/2+AQ164</f>
        <v>0.81</v>
      </c>
      <c r="AC223" s="35"/>
      <c r="AD223" s="33" t="s">
        <v>9</v>
      </c>
      <c r="AE223" s="35">
        <f>+W153</f>
        <v>8.2836363636363632</v>
      </c>
      <c r="AF223" s="35"/>
      <c r="AG223" s="6" t="s">
        <v>10</v>
      </c>
      <c r="AH223" s="35">
        <f>+V170</f>
        <v>2</v>
      </c>
      <c r="AI223" s="35"/>
      <c r="AJ223" s="33" t="s">
        <v>9</v>
      </c>
      <c r="AK223" s="35">
        <f>+I174/2+AQ164</f>
        <v>0.81</v>
      </c>
      <c r="AL223" s="35"/>
      <c r="AM223" s="6" t="s">
        <v>10</v>
      </c>
      <c r="AN223" s="6">
        <v>2</v>
      </c>
      <c r="AO223" s="33" t="s">
        <v>11</v>
      </c>
      <c r="AP223" s="35">
        <f>+E223-H223*K223-N223*Q223/T223-V223*Y223-AB223*AE223/AH223*AK223/AN223</f>
        <v>50.229290181818186</v>
      </c>
      <c r="AQ223" s="35"/>
      <c r="AR223" s="35"/>
      <c r="AS223" s="6" t="s">
        <v>4</v>
      </c>
      <c r="AT223" s="6"/>
      <c r="AU223" s="6"/>
      <c r="AV223" s="6"/>
      <c r="AW223" s="6"/>
      <c r="AX223" s="6"/>
      <c r="AY223" s="6"/>
      <c r="AZ223" s="6"/>
      <c r="BA223" s="6"/>
      <c r="BB223" s="5"/>
    </row>
    <row r="224" spans="2:54" x14ac:dyDescent="0.2">
      <c r="B224" s="4"/>
      <c r="C224" s="14" t="s">
        <v>77</v>
      </c>
      <c r="D224" s="11"/>
      <c r="I224" s="36">
        <f>IF((I174/2+AQ164)&lt;=K170,AP222,AP223)</f>
        <v>47.297963181818183</v>
      </c>
      <c r="J224" s="36"/>
      <c r="K224" s="36"/>
      <c r="L224" s="11" t="s">
        <v>4</v>
      </c>
      <c r="M224" s="6"/>
      <c r="N224" s="6"/>
      <c r="O224" s="6"/>
      <c r="P224" s="6"/>
      <c r="U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5"/>
    </row>
    <row r="225" spans="2:63" x14ac:dyDescent="0.2">
      <c r="B225" s="4"/>
      <c r="C225" s="9" t="s">
        <v>34</v>
      </c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5"/>
    </row>
    <row r="226" spans="2:63" x14ac:dyDescent="0.2">
      <c r="B226" s="4"/>
      <c r="C226" s="6" t="s">
        <v>25</v>
      </c>
      <c r="D226" s="6"/>
      <c r="E226" s="6"/>
      <c r="F226" s="35">
        <f>+Y169</f>
        <v>51.934886363636366</v>
      </c>
      <c r="G226" s="35"/>
      <c r="H226" s="24" t="s">
        <v>8</v>
      </c>
      <c r="I226" s="35">
        <f>+Y159</f>
        <v>8.8800000000000008</v>
      </c>
      <c r="J226" s="35"/>
      <c r="K226" s="24" t="s">
        <v>9</v>
      </c>
      <c r="L226" s="35">
        <f>+Y174/2+AQ164</f>
        <v>0.8600000000000001</v>
      </c>
      <c r="M226" s="35"/>
      <c r="N226" s="24" t="s">
        <v>8</v>
      </c>
      <c r="O226" s="35">
        <f>+Y174/2+AQ164</f>
        <v>0.8600000000000001</v>
      </c>
      <c r="P226" s="35"/>
      <c r="Q226" s="24" t="s">
        <v>9</v>
      </c>
      <c r="R226" s="35">
        <f>+X155</f>
        <v>8.2799999999999994</v>
      </c>
      <c r="S226" s="35"/>
      <c r="T226" s="6" t="s">
        <v>10</v>
      </c>
      <c r="U226" s="35">
        <f>+V170</f>
        <v>2</v>
      </c>
      <c r="V226" s="35"/>
      <c r="W226" s="24" t="s">
        <v>9</v>
      </c>
      <c r="X226" s="35">
        <f>+Y174/2+AQ164</f>
        <v>0.8600000000000001</v>
      </c>
      <c r="Y226" s="35"/>
      <c r="Z226" s="6" t="s">
        <v>10</v>
      </c>
      <c r="AA226" s="6">
        <v>2</v>
      </c>
      <c r="AB226" s="24" t="s">
        <v>8</v>
      </c>
      <c r="AC226" s="35">
        <f>+Y174/2+AQ164</f>
        <v>0.8600000000000001</v>
      </c>
      <c r="AD226" s="35"/>
      <c r="AE226" s="24" t="s">
        <v>9</v>
      </c>
      <c r="AF226" s="35">
        <f>+W153</f>
        <v>8.2836363636363632</v>
      </c>
      <c r="AG226" s="35"/>
      <c r="AH226" s="6" t="s">
        <v>10</v>
      </c>
      <c r="AI226" s="35">
        <f>+V170</f>
        <v>2</v>
      </c>
      <c r="AJ226" s="35"/>
      <c r="AK226" s="24" t="s">
        <v>9</v>
      </c>
      <c r="AL226" s="35">
        <f>+Y174/2+AQ164</f>
        <v>0.8600000000000001</v>
      </c>
      <c r="AM226" s="35"/>
      <c r="AN226" s="6" t="s">
        <v>10</v>
      </c>
      <c r="AO226" s="6">
        <v>2</v>
      </c>
      <c r="AP226" s="33" t="s">
        <v>11</v>
      </c>
      <c r="AQ226" s="35">
        <f>+F226-I226*L226-O226*R226/U226*X226/AA226-AC226*AF226/AI226*AL226/AO226</f>
        <v>41.235469999999999</v>
      </c>
      <c r="AR226" s="35"/>
      <c r="AS226" s="35"/>
      <c r="AT226" s="6" t="s">
        <v>4</v>
      </c>
      <c r="AU226" s="6"/>
      <c r="AV226" s="6"/>
      <c r="AW226" s="6"/>
      <c r="AX226" s="6"/>
      <c r="AY226" s="6"/>
      <c r="AZ226" s="6"/>
      <c r="BA226" s="6"/>
      <c r="BB226" s="5"/>
    </row>
    <row r="227" spans="2:63" x14ac:dyDescent="0.2">
      <c r="B227" s="4"/>
      <c r="C227" s="6" t="s">
        <v>25</v>
      </c>
      <c r="D227" s="6"/>
      <c r="E227" s="6"/>
      <c r="F227" s="35">
        <f>+Y169</f>
        <v>51.934886363636366</v>
      </c>
      <c r="G227" s="35"/>
      <c r="H227" s="33" t="s">
        <v>8</v>
      </c>
      <c r="I227" s="35">
        <f>+Y159</f>
        <v>8.8800000000000008</v>
      </c>
      <c r="J227" s="35"/>
      <c r="K227" s="33" t="s">
        <v>9</v>
      </c>
      <c r="L227" s="35">
        <f>+Y174/2+AQ164</f>
        <v>0.8600000000000001</v>
      </c>
      <c r="M227" s="35"/>
      <c r="N227" s="33" t="s">
        <v>8</v>
      </c>
      <c r="O227" s="35">
        <f>+K170</f>
        <v>2</v>
      </c>
      <c r="P227" s="35"/>
      <c r="Q227" s="33" t="s">
        <v>9</v>
      </c>
      <c r="R227" s="35">
        <f>+X155</f>
        <v>8.2799999999999994</v>
      </c>
      <c r="S227" s="35"/>
      <c r="T227" s="6" t="s">
        <v>10</v>
      </c>
      <c r="U227" s="6">
        <v>2</v>
      </c>
      <c r="V227" s="33" t="s">
        <v>8</v>
      </c>
      <c r="W227" s="35">
        <f>+X155</f>
        <v>8.2799999999999994</v>
      </c>
      <c r="X227" s="35"/>
      <c r="Y227" s="34" t="s">
        <v>9</v>
      </c>
      <c r="Z227" s="35">
        <f>+Y174/2+AQ164-V170</f>
        <v>-1.1399999999999999</v>
      </c>
      <c r="AA227" s="35"/>
      <c r="AB227" s="33" t="s">
        <v>8</v>
      </c>
      <c r="AC227" s="35">
        <f>+Y174/2+AQ164</f>
        <v>0.8600000000000001</v>
      </c>
      <c r="AD227" s="35"/>
      <c r="AE227" s="33" t="s">
        <v>9</v>
      </c>
      <c r="AF227" s="35">
        <f>+W153</f>
        <v>8.2836363636363632</v>
      </c>
      <c r="AG227" s="35"/>
      <c r="AH227" s="6" t="s">
        <v>10</v>
      </c>
      <c r="AI227" s="35">
        <f>+V170</f>
        <v>2</v>
      </c>
      <c r="AJ227" s="35"/>
      <c r="AK227" s="33" t="s">
        <v>9</v>
      </c>
      <c r="AL227" s="35">
        <f>+Y174/2+AQ164</f>
        <v>0.8600000000000001</v>
      </c>
      <c r="AM227" s="35"/>
      <c r="AN227" s="6" t="s">
        <v>10</v>
      </c>
      <c r="AO227" s="6">
        <v>2</v>
      </c>
      <c r="AP227" s="33" t="s">
        <v>11</v>
      </c>
      <c r="AQ227" s="35">
        <f>+F227-I227*L227-O227*R227/U227-W227*Z227-AC227*AF227/AI227*AL227/AO227</f>
        <v>43.925641999999996</v>
      </c>
      <c r="AR227" s="35"/>
      <c r="AS227" s="35"/>
      <c r="AT227" s="6" t="s">
        <v>4</v>
      </c>
      <c r="AU227" s="6"/>
      <c r="AV227" s="6"/>
      <c r="AW227" s="6"/>
      <c r="AX227" s="6"/>
      <c r="AY227" s="6"/>
      <c r="AZ227" s="6"/>
      <c r="BA227" s="6"/>
      <c r="BB227" s="5"/>
    </row>
    <row r="228" spans="2:63" x14ac:dyDescent="0.2">
      <c r="B228" s="4"/>
      <c r="C228" s="14" t="s">
        <v>78</v>
      </c>
      <c r="D228" s="6"/>
      <c r="E228" s="6"/>
      <c r="I228" s="36">
        <f>IF((Y174/2+AQ164)&lt;=V170,AQ226,AQ227)</f>
        <v>41.235469999999999</v>
      </c>
      <c r="J228" s="36"/>
      <c r="K228" s="36"/>
      <c r="L228" s="11" t="s">
        <v>4</v>
      </c>
      <c r="M228" s="6"/>
      <c r="N228" s="6"/>
      <c r="O228" s="6"/>
      <c r="T228" s="6"/>
      <c r="U228" s="6"/>
      <c r="V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5"/>
    </row>
    <row r="229" spans="2:63" x14ac:dyDescent="0.2">
      <c r="B229" s="4"/>
      <c r="C229" s="9" t="s">
        <v>38</v>
      </c>
      <c r="D229" s="6"/>
      <c r="E229" s="24"/>
      <c r="F229" s="24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5"/>
    </row>
    <row r="230" spans="2:63" x14ac:dyDescent="0.2">
      <c r="B230" s="4"/>
      <c r="C230" s="6" t="s">
        <v>39</v>
      </c>
      <c r="D230" s="6"/>
      <c r="E230" s="35">
        <f>-I169</f>
        <v>-57.207613636363639</v>
      </c>
      <c r="F230" s="35"/>
      <c r="G230" s="24" t="s">
        <v>9</v>
      </c>
      <c r="H230" s="35">
        <f>+I174/2</f>
        <v>0.25</v>
      </c>
      <c r="I230" s="35"/>
      <c r="J230" s="24" t="s">
        <v>7</v>
      </c>
      <c r="K230" s="35">
        <f>+Y159</f>
        <v>8.8800000000000008</v>
      </c>
      <c r="L230" s="35"/>
      <c r="M230" s="24" t="s">
        <v>9</v>
      </c>
      <c r="N230" s="35">
        <f>+I174/2</f>
        <v>0.25</v>
      </c>
      <c r="O230" s="35"/>
      <c r="P230" s="24" t="s">
        <v>9</v>
      </c>
      <c r="Q230" s="35">
        <f>+N230/2</f>
        <v>0.125</v>
      </c>
      <c r="R230" s="35"/>
      <c r="S230" s="24" t="s">
        <v>7</v>
      </c>
      <c r="T230" s="35">
        <f>+X155</f>
        <v>8.2799999999999994</v>
      </c>
      <c r="U230" s="35"/>
      <c r="V230" s="24" t="s">
        <v>9</v>
      </c>
      <c r="W230" s="35">
        <f>+I174/2</f>
        <v>0.25</v>
      </c>
      <c r="X230" s="35"/>
      <c r="Y230" s="6" t="s">
        <v>10</v>
      </c>
      <c r="Z230" s="35">
        <f>+K170</f>
        <v>2</v>
      </c>
      <c r="AA230" s="35"/>
      <c r="AB230" s="24" t="s">
        <v>9</v>
      </c>
      <c r="AC230" s="35">
        <f>+I174/2</f>
        <v>0.25</v>
      </c>
      <c r="AD230" s="35"/>
      <c r="AE230" s="6" t="s">
        <v>10</v>
      </c>
      <c r="AF230" s="6">
        <v>2</v>
      </c>
      <c r="AG230" s="24" t="s">
        <v>9</v>
      </c>
      <c r="AH230" s="6">
        <v>2</v>
      </c>
      <c r="AI230" s="24" t="s">
        <v>9</v>
      </c>
      <c r="AJ230" s="35">
        <f>+I174/2</f>
        <v>0.25</v>
      </c>
      <c r="AK230" s="35"/>
      <c r="AL230" s="6" t="s">
        <v>10</v>
      </c>
      <c r="AM230" s="6">
        <v>3</v>
      </c>
      <c r="AN230" s="24" t="s">
        <v>7</v>
      </c>
      <c r="AO230" s="35">
        <f>+T152</f>
        <v>11.39</v>
      </c>
      <c r="AP230" s="35"/>
      <c r="AQ230" s="24" t="s">
        <v>9</v>
      </c>
      <c r="AR230" s="35">
        <f>+I174/2</f>
        <v>0.25</v>
      </c>
      <c r="AS230" s="35"/>
      <c r="AT230" s="6" t="s">
        <v>10</v>
      </c>
      <c r="AU230" s="35">
        <f>+K170</f>
        <v>2</v>
      </c>
      <c r="AV230" s="35"/>
      <c r="AW230" s="24" t="s">
        <v>9</v>
      </c>
      <c r="AX230" s="35">
        <f>+I174/2</f>
        <v>0.25</v>
      </c>
      <c r="AY230" s="35"/>
      <c r="AZ230" s="6" t="s">
        <v>10</v>
      </c>
      <c r="BA230" s="6"/>
      <c r="BB230" s="5"/>
    </row>
    <row r="231" spans="2:63" x14ac:dyDescent="0.2">
      <c r="B231" s="4"/>
      <c r="C231" s="6"/>
      <c r="D231" s="6" t="s">
        <v>10</v>
      </c>
      <c r="E231" s="6">
        <v>2</v>
      </c>
      <c r="F231" s="24" t="s">
        <v>9</v>
      </c>
      <c r="G231" s="6">
        <v>2</v>
      </c>
      <c r="H231" s="24" t="s">
        <v>9</v>
      </c>
      <c r="I231" s="35">
        <f>+I174/2</f>
        <v>0.25</v>
      </c>
      <c r="J231" s="35"/>
      <c r="K231" s="6" t="s">
        <v>10</v>
      </c>
      <c r="L231" s="6">
        <v>3</v>
      </c>
      <c r="M231" s="24" t="s">
        <v>7</v>
      </c>
      <c r="N231" s="35">
        <f>+D165</f>
        <v>62.57</v>
      </c>
      <c r="O231" s="35"/>
      <c r="P231" s="24" t="s">
        <v>11</v>
      </c>
      <c r="Q231" s="36">
        <f>+E230*H230+K230*N230*Q230+T230*W230/Z230*AC230/AF230*AH230*AJ230/AM230+AO230*AR230/AU230*AX230/E231*G231*I231/L231+N231</f>
        <v>48.596820549242423</v>
      </c>
      <c r="R231" s="36"/>
      <c r="S231" s="36"/>
      <c r="T231" s="11" t="s">
        <v>2</v>
      </c>
      <c r="U231" s="24"/>
      <c r="V231" s="24"/>
      <c r="W231" s="24"/>
      <c r="X231" s="24"/>
      <c r="Y231" s="6"/>
      <c r="Z231" s="24"/>
      <c r="AA231" s="24"/>
      <c r="AB231" s="24"/>
      <c r="AC231" s="24"/>
      <c r="AD231" s="24"/>
      <c r="AE231" s="6"/>
      <c r="AF231" s="6"/>
      <c r="AG231" s="24"/>
      <c r="AH231" s="6"/>
      <c r="AI231" s="24"/>
      <c r="AJ231" s="24"/>
      <c r="AK231" s="24"/>
      <c r="AL231" s="6"/>
      <c r="AM231" s="6"/>
      <c r="AN231" s="24"/>
      <c r="AO231" s="24"/>
      <c r="AP231" s="24"/>
      <c r="AQ231" s="24"/>
      <c r="AR231" s="24"/>
      <c r="AS231" s="24"/>
      <c r="AT231" s="6"/>
      <c r="AU231" s="24"/>
      <c r="AV231" s="24"/>
      <c r="AW231" s="24"/>
      <c r="AX231" s="24"/>
      <c r="AY231" s="24"/>
      <c r="AZ231" s="6"/>
      <c r="BA231" s="6"/>
      <c r="BB231" s="28"/>
      <c r="BC231" s="6"/>
      <c r="BD231" s="24"/>
      <c r="BE231" s="24"/>
      <c r="BF231" s="24"/>
      <c r="BG231" s="6"/>
      <c r="BH231" s="6"/>
      <c r="BI231" s="24"/>
      <c r="BJ231" s="24"/>
      <c r="BK231" s="24"/>
    </row>
    <row r="232" spans="2:63" x14ac:dyDescent="0.2">
      <c r="B232" s="4"/>
      <c r="C232" s="9" t="s">
        <v>40</v>
      </c>
      <c r="D232" s="11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5"/>
    </row>
    <row r="233" spans="2:63" x14ac:dyDescent="0.2">
      <c r="B233" s="4"/>
      <c r="C233" s="6" t="s">
        <v>70</v>
      </c>
      <c r="D233" s="6"/>
      <c r="F233" s="35">
        <f>-Y169</f>
        <v>-51.934886363636366</v>
      </c>
      <c r="G233" s="35"/>
      <c r="H233" s="24" t="s">
        <v>9</v>
      </c>
      <c r="I233" s="35">
        <f>+Y174/2</f>
        <v>0.3</v>
      </c>
      <c r="J233" s="35"/>
      <c r="K233" s="24" t="s">
        <v>7</v>
      </c>
      <c r="L233" s="35">
        <f>+Y159</f>
        <v>8.8800000000000008</v>
      </c>
      <c r="M233" s="35"/>
      <c r="N233" s="24" t="s">
        <v>9</v>
      </c>
      <c r="O233" s="35">
        <f>+Y174/2</f>
        <v>0.3</v>
      </c>
      <c r="P233" s="35"/>
      <c r="Q233" s="24" t="s">
        <v>9</v>
      </c>
      <c r="R233" s="35">
        <f>+O233/2</f>
        <v>0.15</v>
      </c>
      <c r="S233" s="35"/>
      <c r="T233" s="24" t="s">
        <v>7</v>
      </c>
      <c r="U233" s="35">
        <f>+X155</f>
        <v>8.2799999999999994</v>
      </c>
      <c r="V233" s="35"/>
      <c r="W233" s="24" t="s">
        <v>9</v>
      </c>
      <c r="X233" s="35">
        <f>+Y174/2</f>
        <v>0.3</v>
      </c>
      <c r="Y233" s="35"/>
      <c r="Z233" s="6" t="s">
        <v>10</v>
      </c>
      <c r="AA233" s="35">
        <f>+V170</f>
        <v>2</v>
      </c>
      <c r="AB233" s="35"/>
      <c r="AC233" s="24" t="s">
        <v>9</v>
      </c>
      <c r="AD233" s="35">
        <f>+Y174/2</f>
        <v>0.3</v>
      </c>
      <c r="AE233" s="35"/>
      <c r="AF233" s="6" t="s">
        <v>10</v>
      </c>
      <c r="AG233" s="6">
        <v>2</v>
      </c>
      <c r="AH233" s="24" t="s">
        <v>9</v>
      </c>
      <c r="AI233" s="6">
        <v>2</v>
      </c>
      <c r="AJ233" s="24" t="s">
        <v>9</v>
      </c>
      <c r="AK233" s="35">
        <f>+Y174/2</f>
        <v>0.3</v>
      </c>
      <c r="AL233" s="35"/>
      <c r="AM233" s="6" t="s">
        <v>10</v>
      </c>
      <c r="AN233" s="6">
        <v>3</v>
      </c>
      <c r="AO233" s="24" t="s">
        <v>7</v>
      </c>
      <c r="AP233" s="35">
        <f>+T152</f>
        <v>11.39</v>
      </c>
      <c r="AQ233" s="35"/>
      <c r="AR233" s="24" t="s">
        <v>9</v>
      </c>
      <c r="AS233" s="35">
        <f>+Y174/2</f>
        <v>0.3</v>
      </c>
      <c r="AT233" s="35"/>
      <c r="AU233" s="6" t="s">
        <v>10</v>
      </c>
      <c r="AV233" s="35">
        <f>+V170</f>
        <v>2</v>
      </c>
      <c r="AW233" s="35"/>
      <c r="AX233" s="24" t="s">
        <v>9</v>
      </c>
      <c r="AY233" s="35">
        <f>+Y174/2</f>
        <v>0.3</v>
      </c>
      <c r="AZ233" s="35"/>
      <c r="BA233" s="6" t="s">
        <v>10</v>
      </c>
      <c r="BB233" s="5"/>
    </row>
    <row r="234" spans="2:63" x14ac:dyDescent="0.2">
      <c r="B234" s="4"/>
      <c r="C234" s="6"/>
      <c r="D234" s="6" t="s">
        <v>10</v>
      </c>
      <c r="E234" s="6">
        <v>2</v>
      </c>
      <c r="F234" s="24" t="s">
        <v>9</v>
      </c>
      <c r="G234" s="6">
        <v>2</v>
      </c>
      <c r="H234" s="24" t="s">
        <v>9</v>
      </c>
      <c r="I234" s="35">
        <f>+Y174/2</f>
        <v>0.3</v>
      </c>
      <c r="J234" s="35"/>
      <c r="K234" s="6" t="s">
        <v>10</v>
      </c>
      <c r="L234" s="6">
        <v>3</v>
      </c>
      <c r="M234" s="24" t="s">
        <v>7</v>
      </c>
      <c r="N234" s="35">
        <f>+AC165</f>
        <v>48.07</v>
      </c>
      <c r="O234" s="35"/>
      <c r="P234" s="24" t="s">
        <v>11</v>
      </c>
      <c r="Q234" s="36">
        <f>+F233*I233+L233*O233*R233+U233*X233/AA233*AD233/AG233*AI233*AK233/AN233+AP233*AS233/AV233*AY233/E234*G234*I234/L234+N234</f>
        <v>32.97764909090909</v>
      </c>
      <c r="R234" s="36"/>
      <c r="S234" s="36"/>
      <c r="T234" s="11" t="s">
        <v>2</v>
      </c>
      <c r="U234" s="24"/>
      <c r="V234" s="24"/>
      <c r="W234" s="24"/>
      <c r="X234" s="24"/>
      <c r="Y234" s="6"/>
      <c r="Z234" s="24"/>
      <c r="AA234" s="24"/>
      <c r="AB234" s="24"/>
      <c r="AC234" s="24"/>
      <c r="AD234" s="24"/>
      <c r="AE234" s="6"/>
      <c r="AF234" s="6"/>
      <c r="AG234" s="24"/>
      <c r="AH234" s="6"/>
      <c r="AI234" s="24"/>
      <c r="AJ234" s="24"/>
      <c r="AK234" s="24"/>
      <c r="AL234" s="6"/>
      <c r="AM234" s="6"/>
      <c r="AN234" s="24"/>
      <c r="AO234" s="24"/>
      <c r="AP234" s="24"/>
      <c r="AQ234" s="24"/>
      <c r="AR234" s="24"/>
      <c r="AS234" s="24"/>
      <c r="AT234" s="6"/>
      <c r="AU234" s="24"/>
      <c r="AV234" s="24"/>
      <c r="AW234" s="24"/>
      <c r="AX234" s="24"/>
      <c r="AY234" s="24"/>
      <c r="AZ234" s="6"/>
      <c r="BA234" s="6"/>
      <c r="BB234" s="5"/>
    </row>
    <row r="235" spans="2:63" x14ac:dyDescent="0.2">
      <c r="B235" s="4"/>
      <c r="C235" s="9" t="s">
        <v>41</v>
      </c>
      <c r="D235" s="6"/>
      <c r="E235" s="24"/>
      <c r="F235" s="24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5"/>
    </row>
    <row r="236" spans="2:63" x14ac:dyDescent="0.2">
      <c r="B236" s="4"/>
      <c r="C236" s="6" t="s">
        <v>42</v>
      </c>
      <c r="D236" s="6"/>
      <c r="E236" s="24"/>
      <c r="F236" s="24"/>
      <c r="G236" s="6"/>
      <c r="H236" s="6"/>
      <c r="I236" s="6"/>
      <c r="J236" s="35">
        <f>+D165</f>
        <v>62.57</v>
      </c>
      <c r="K236" s="35"/>
      <c r="L236" s="24" t="s">
        <v>8</v>
      </c>
      <c r="M236" s="35">
        <f>+I169</f>
        <v>57.207613636363639</v>
      </c>
      <c r="N236" s="35"/>
      <c r="O236" s="24" t="s">
        <v>9</v>
      </c>
      <c r="P236" s="35">
        <f>+I174</f>
        <v>0.5</v>
      </c>
      <c r="Q236" s="35"/>
      <c r="R236" s="6" t="s">
        <v>10</v>
      </c>
      <c r="S236" s="6">
        <v>3</v>
      </c>
      <c r="T236" s="24" t="s">
        <v>11</v>
      </c>
      <c r="U236" s="36">
        <f>+J236-M236*P236/S236</f>
        <v>53.035397727272724</v>
      </c>
      <c r="V236" s="36"/>
      <c r="W236" s="36"/>
      <c r="X236" s="11" t="s">
        <v>2</v>
      </c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5"/>
    </row>
    <row r="237" spans="2:63" x14ac:dyDescent="0.2">
      <c r="B237" s="4"/>
      <c r="C237" s="9" t="s">
        <v>69</v>
      </c>
      <c r="D237" s="6"/>
      <c r="E237" s="24"/>
      <c r="F237" s="24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5"/>
    </row>
    <row r="238" spans="2:63" x14ac:dyDescent="0.2">
      <c r="B238" s="4"/>
      <c r="C238" s="6" t="s">
        <v>45</v>
      </c>
      <c r="D238" s="6"/>
      <c r="E238" s="24"/>
      <c r="F238" s="24"/>
      <c r="G238" s="6"/>
      <c r="H238" s="6"/>
      <c r="I238" s="6"/>
      <c r="J238" s="35">
        <f>+AC165</f>
        <v>48.07</v>
      </c>
      <c r="K238" s="35"/>
      <c r="L238" s="24" t="s">
        <v>8</v>
      </c>
      <c r="M238" s="35">
        <f>+Y169</f>
        <v>51.934886363636366</v>
      </c>
      <c r="N238" s="35"/>
      <c r="O238" s="24" t="s">
        <v>9</v>
      </c>
      <c r="P238" s="35">
        <f>+Y174</f>
        <v>0.6</v>
      </c>
      <c r="Q238" s="35"/>
      <c r="R238" s="6" t="s">
        <v>10</v>
      </c>
      <c r="S238" s="6">
        <v>3</v>
      </c>
      <c r="T238" s="24" t="s">
        <v>11</v>
      </c>
      <c r="U238" s="36">
        <f>+J238-M238*P238/S238</f>
        <v>37.683022727272729</v>
      </c>
      <c r="V238" s="36"/>
      <c r="W238" s="36"/>
      <c r="X238" s="11" t="s">
        <v>2</v>
      </c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5"/>
    </row>
    <row r="239" spans="2:63" ht="12" thickBot="1" x14ac:dyDescent="0.25">
      <c r="B239" s="29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  <c r="AO239" s="30"/>
      <c r="AP239" s="30"/>
      <c r="AQ239" s="30"/>
      <c r="AR239" s="30"/>
      <c r="AS239" s="30"/>
      <c r="AT239" s="30"/>
      <c r="AU239" s="30"/>
      <c r="AV239" s="30"/>
      <c r="AW239" s="30"/>
      <c r="AX239" s="30"/>
      <c r="AY239" s="30"/>
      <c r="AZ239" s="30"/>
      <c r="BA239" s="30"/>
      <c r="BB239" s="31"/>
    </row>
  </sheetData>
  <sheetProtection algorithmName="SHA-512" hashValue="cJKoyLkKeIN8OCY8/2QOzO+29QKd/h0fblQWaXsmBEyKnIzv4yMudSLkr4Lj9gIn/3trz9UKOrY+gUks5nGFIA==" saltValue="9KfW05KYj8qOvkk2x4Sq9w==" spinCount="100000" sheet="1" objects="1" scenarios="1"/>
  <mergeCells count="646">
    <mergeCell ref="I228:K228"/>
    <mergeCell ref="I224:K224"/>
    <mergeCell ref="F226:G226"/>
    <mergeCell ref="I226:J226"/>
    <mergeCell ref="L226:M226"/>
    <mergeCell ref="O226:P226"/>
    <mergeCell ref="R226:S226"/>
    <mergeCell ref="U226:V226"/>
    <mergeCell ref="X226:Y226"/>
    <mergeCell ref="AQ81:AR81"/>
    <mergeCell ref="AQ164:AR164"/>
    <mergeCell ref="E216:F216"/>
    <mergeCell ref="H216:I216"/>
    <mergeCell ref="K216:L216"/>
    <mergeCell ref="N216:O216"/>
    <mergeCell ref="Q216:R216"/>
    <mergeCell ref="T216:U216"/>
    <mergeCell ref="W216:X216"/>
    <mergeCell ref="AB216:AC216"/>
    <mergeCell ref="AE216:AF216"/>
    <mergeCell ref="AH216:AI216"/>
    <mergeCell ref="AK216:AL216"/>
    <mergeCell ref="AC165:AD165"/>
    <mergeCell ref="I169:J169"/>
    <mergeCell ref="Y169:Z169"/>
    <mergeCell ref="K170:L170"/>
    <mergeCell ref="Q170:R170"/>
    <mergeCell ref="V170:W170"/>
    <mergeCell ref="Q172:R172"/>
    <mergeCell ref="I174:J174"/>
    <mergeCell ref="Y174:Z174"/>
    <mergeCell ref="AR178:AS178"/>
    <mergeCell ref="D179:F179"/>
    <mergeCell ref="Q36:R36"/>
    <mergeCell ref="Q43:R43"/>
    <mergeCell ref="F67:H67"/>
    <mergeCell ref="U69:W69"/>
    <mergeCell ref="U71:W71"/>
    <mergeCell ref="E64:G64"/>
    <mergeCell ref="C43:D43"/>
    <mergeCell ref="C44:D44"/>
    <mergeCell ref="E46:F46"/>
    <mergeCell ref="H46:I46"/>
    <mergeCell ref="K46:L46"/>
    <mergeCell ref="N46:O46"/>
    <mergeCell ref="F61:H61"/>
    <mergeCell ref="O49:Q49"/>
    <mergeCell ref="E63:F63"/>
    <mergeCell ref="H63:I63"/>
    <mergeCell ref="K63:L63"/>
    <mergeCell ref="N63:O63"/>
    <mergeCell ref="Q63:R63"/>
    <mergeCell ref="T57:U57"/>
    <mergeCell ref="W57:X57"/>
    <mergeCell ref="E58:G58"/>
    <mergeCell ref="F60:G60"/>
    <mergeCell ref="I60:J60"/>
    <mergeCell ref="B2:BB2"/>
    <mergeCell ref="T74:U74"/>
    <mergeCell ref="W75:X75"/>
    <mergeCell ref="D82:E82"/>
    <mergeCell ref="AC82:AD82"/>
    <mergeCell ref="I86:J86"/>
    <mergeCell ref="Y86:Z86"/>
    <mergeCell ref="K87:L87"/>
    <mergeCell ref="V87:W87"/>
    <mergeCell ref="E31:F31"/>
    <mergeCell ref="AB37:AC37"/>
    <mergeCell ref="AB44:AC44"/>
    <mergeCell ref="T5:U5"/>
    <mergeCell ref="W7:X7"/>
    <mergeCell ref="C36:D36"/>
    <mergeCell ref="U37:V37"/>
    <mergeCell ref="U44:V44"/>
    <mergeCell ref="J36:K36"/>
    <mergeCell ref="M36:N36"/>
    <mergeCell ref="AC14:AD14"/>
    <mergeCell ref="D14:E14"/>
    <mergeCell ref="I18:J18"/>
    <mergeCell ref="Y18:Z18"/>
    <mergeCell ref="D27:E27"/>
    <mergeCell ref="G27:H27"/>
    <mergeCell ref="J27:K27"/>
    <mergeCell ref="M27:N27"/>
    <mergeCell ref="P27:Q27"/>
    <mergeCell ref="U27:V27"/>
    <mergeCell ref="I23:J23"/>
    <mergeCell ref="M19:N19"/>
    <mergeCell ref="U19:V19"/>
    <mergeCell ref="Q21:R21"/>
    <mergeCell ref="X27:Y27"/>
    <mergeCell ref="H31:I31"/>
    <mergeCell ref="K31:L31"/>
    <mergeCell ref="P31:Q31"/>
    <mergeCell ref="AH39:AI39"/>
    <mergeCell ref="AM39:AN39"/>
    <mergeCell ref="E40:F40"/>
    <mergeCell ref="Y23:Z23"/>
    <mergeCell ref="AP13:AQ13"/>
    <mergeCell ref="D28:F28"/>
    <mergeCell ref="D32:F32"/>
    <mergeCell ref="Q39:R39"/>
    <mergeCell ref="T39:U39"/>
    <mergeCell ref="W39:X39"/>
    <mergeCell ref="Z39:AA39"/>
    <mergeCell ref="AC39:AD39"/>
    <mergeCell ref="C37:D37"/>
    <mergeCell ref="G37:H37"/>
    <mergeCell ref="K37:L37"/>
    <mergeCell ref="D38:E38"/>
    <mergeCell ref="E39:F39"/>
    <mergeCell ref="H39:I39"/>
    <mergeCell ref="K39:L39"/>
    <mergeCell ref="N39:O39"/>
    <mergeCell ref="AA27:AB27"/>
    <mergeCell ref="AD27:AE27"/>
    <mergeCell ref="S31:T31"/>
    <mergeCell ref="F36:G36"/>
    <mergeCell ref="W51:X51"/>
    <mergeCell ref="T51:U51"/>
    <mergeCell ref="F54:G54"/>
    <mergeCell ref="I54:J54"/>
    <mergeCell ref="L54:M54"/>
    <mergeCell ref="O54:P54"/>
    <mergeCell ref="R54:S54"/>
    <mergeCell ref="U54:V54"/>
    <mergeCell ref="X54:Y54"/>
    <mergeCell ref="E51:F51"/>
    <mergeCell ref="H51:I51"/>
    <mergeCell ref="K51:L51"/>
    <mergeCell ref="N51:O51"/>
    <mergeCell ref="Q51:R51"/>
    <mergeCell ref="F43:G43"/>
    <mergeCell ref="J43:K43"/>
    <mergeCell ref="M43:N43"/>
    <mergeCell ref="G44:H44"/>
    <mergeCell ref="K44:L44"/>
    <mergeCell ref="D45:E45"/>
    <mergeCell ref="E57:F57"/>
    <mergeCell ref="H57:I57"/>
    <mergeCell ref="K57:L57"/>
    <mergeCell ref="N57:O57"/>
    <mergeCell ref="Q57:R57"/>
    <mergeCell ref="AH46:AI46"/>
    <mergeCell ref="AM46:AN46"/>
    <mergeCell ref="E47:F47"/>
    <mergeCell ref="I48:K48"/>
    <mergeCell ref="Q46:R46"/>
    <mergeCell ref="T46:U46"/>
    <mergeCell ref="W46:X46"/>
    <mergeCell ref="Z46:AA46"/>
    <mergeCell ref="AC46:AD46"/>
    <mergeCell ref="E52:G52"/>
    <mergeCell ref="F55:H55"/>
    <mergeCell ref="AO63:AP63"/>
    <mergeCell ref="F66:G66"/>
    <mergeCell ref="I66:J66"/>
    <mergeCell ref="L66:M66"/>
    <mergeCell ref="O66:P66"/>
    <mergeCell ref="R66:S66"/>
    <mergeCell ref="U66:V66"/>
    <mergeCell ref="X66:Y66"/>
    <mergeCell ref="AA66:AB66"/>
    <mergeCell ref="AD66:AE66"/>
    <mergeCell ref="AK66:AL66"/>
    <mergeCell ref="AP66:AQ66"/>
    <mergeCell ref="T63:U63"/>
    <mergeCell ref="W63:X63"/>
    <mergeCell ref="Z63:AA63"/>
    <mergeCell ref="AC63:AD63"/>
    <mergeCell ref="AJ63:AK63"/>
    <mergeCell ref="L60:M60"/>
    <mergeCell ref="O60:P60"/>
    <mergeCell ref="R60:S60"/>
    <mergeCell ref="U60:V60"/>
    <mergeCell ref="X60:Y60"/>
    <mergeCell ref="J71:K71"/>
    <mergeCell ref="M71:N71"/>
    <mergeCell ref="P71:Q71"/>
    <mergeCell ref="J69:K69"/>
    <mergeCell ref="M69:N69"/>
    <mergeCell ref="P69:Q69"/>
    <mergeCell ref="D165:E165"/>
    <mergeCell ref="Q89:R89"/>
    <mergeCell ref="I91:J91"/>
    <mergeCell ref="Y91:Z91"/>
    <mergeCell ref="Q87:R87"/>
    <mergeCell ref="O127:Q127"/>
    <mergeCell ref="E129:F129"/>
    <mergeCell ref="H129:I129"/>
    <mergeCell ref="K129:L129"/>
    <mergeCell ref="N129:O129"/>
    <mergeCell ref="Q129:R129"/>
    <mergeCell ref="T129:U129"/>
    <mergeCell ref="W129:X129"/>
    <mergeCell ref="N143:O143"/>
    <mergeCell ref="I141:K141"/>
    <mergeCell ref="E143:F143"/>
    <mergeCell ref="X95:Y95"/>
    <mergeCell ref="V103:W103"/>
    <mergeCell ref="C105:D105"/>
    <mergeCell ref="F105:G105"/>
    <mergeCell ref="J105:K105"/>
    <mergeCell ref="M105:N105"/>
    <mergeCell ref="AF178:AG178"/>
    <mergeCell ref="AI178:AJ178"/>
    <mergeCell ref="AL178:AM178"/>
    <mergeCell ref="AO178:AP178"/>
    <mergeCell ref="E186:F186"/>
    <mergeCell ref="H186:I186"/>
    <mergeCell ref="K186:L186"/>
    <mergeCell ref="N186:O186"/>
    <mergeCell ref="Q186:R186"/>
    <mergeCell ref="AD186:AE186"/>
    <mergeCell ref="E182:F182"/>
    <mergeCell ref="P182:Q182"/>
    <mergeCell ref="S182:T182"/>
    <mergeCell ref="X182:Y182"/>
    <mergeCell ref="AA182:AB182"/>
    <mergeCell ref="AD182:AE182"/>
    <mergeCell ref="D183:F183"/>
    <mergeCell ref="D178:E178"/>
    <mergeCell ref="G178:H178"/>
    <mergeCell ref="J178:K178"/>
    <mergeCell ref="X178:Y178"/>
    <mergeCell ref="AA178:AB178"/>
    <mergeCell ref="C188:D188"/>
    <mergeCell ref="F188:G188"/>
    <mergeCell ref="J188:K188"/>
    <mergeCell ref="M188:N188"/>
    <mergeCell ref="S188:T188"/>
    <mergeCell ref="V188:W188"/>
    <mergeCell ref="Y186:Z186"/>
    <mergeCell ref="Y188:Z188"/>
    <mergeCell ref="AC188:AD188"/>
    <mergeCell ref="C194:D194"/>
    <mergeCell ref="F194:G194"/>
    <mergeCell ref="J194:K194"/>
    <mergeCell ref="N194:O194"/>
    <mergeCell ref="C189:D189"/>
    <mergeCell ref="G189:H189"/>
    <mergeCell ref="D190:E190"/>
    <mergeCell ref="E191:F191"/>
    <mergeCell ref="H191:I191"/>
    <mergeCell ref="K191:L191"/>
    <mergeCell ref="N191:O191"/>
    <mergeCell ref="K189:L189"/>
    <mergeCell ref="L192:M192"/>
    <mergeCell ref="O192:P192"/>
    <mergeCell ref="C195:D195"/>
    <mergeCell ref="G195:H195"/>
    <mergeCell ref="K195:L195"/>
    <mergeCell ref="U195:V195"/>
    <mergeCell ref="AB195:AC195"/>
    <mergeCell ref="D196:E196"/>
    <mergeCell ref="E197:F197"/>
    <mergeCell ref="H197:I197"/>
    <mergeCell ref="K197:L197"/>
    <mergeCell ref="N197:O197"/>
    <mergeCell ref="Q197:R197"/>
    <mergeCell ref="T197:U197"/>
    <mergeCell ref="W197:X197"/>
    <mergeCell ref="Z197:AA197"/>
    <mergeCell ref="AC197:AD197"/>
    <mergeCell ref="C202:D202"/>
    <mergeCell ref="F202:G202"/>
    <mergeCell ref="J202:K202"/>
    <mergeCell ref="M202:N202"/>
    <mergeCell ref="S202:T202"/>
    <mergeCell ref="V202:W202"/>
    <mergeCell ref="C203:D203"/>
    <mergeCell ref="G203:H203"/>
    <mergeCell ref="D204:E204"/>
    <mergeCell ref="E205:F205"/>
    <mergeCell ref="H205:I205"/>
    <mergeCell ref="K205:L205"/>
    <mergeCell ref="N205:O205"/>
    <mergeCell ref="Q205:R205"/>
    <mergeCell ref="T205:U205"/>
    <mergeCell ref="W205:X205"/>
    <mergeCell ref="AB205:AC205"/>
    <mergeCell ref="AE205:AF205"/>
    <mergeCell ref="AB189:AC189"/>
    <mergeCell ref="W191:X191"/>
    <mergeCell ref="AB191:AC191"/>
    <mergeCell ref="AE191:AF191"/>
    <mergeCell ref="AH191:AI191"/>
    <mergeCell ref="AM191:AN191"/>
    <mergeCell ref="D210:E210"/>
    <mergeCell ref="E211:F211"/>
    <mergeCell ref="H211:I211"/>
    <mergeCell ref="K211:L211"/>
    <mergeCell ref="N211:O211"/>
    <mergeCell ref="Q211:R211"/>
    <mergeCell ref="T211:U211"/>
    <mergeCell ref="W211:X211"/>
    <mergeCell ref="Z211:AA211"/>
    <mergeCell ref="C208:D208"/>
    <mergeCell ref="F208:G208"/>
    <mergeCell ref="J208:K208"/>
    <mergeCell ref="N208:O208"/>
    <mergeCell ref="C209:D209"/>
    <mergeCell ref="G209:H209"/>
    <mergeCell ref="K209:L209"/>
    <mergeCell ref="U209:V209"/>
    <mergeCell ref="AM211:AN211"/>
    <mergeCell ref="T152:U152"/>
    <mergeCell ref="W153:X153"/>
    <mergeCell ref="M178:N178"/>
    <mergeCell ref="P178:Q178"/>
    <mergeCell ref="U178:V178"/>
    <mergeCell ref="H182:I182"/>
    <mergeCell ref="K182:L182"/>
    <mergeCell ref="V186:W186"/>
    <mergeCell ref="L206:M206"/>
    <mergeCell ref="O206:P206"/>
    <mergeCell ref="L198:M198"/>
    <mergeCell ref="O198:P198"/>
    <mergeCell ref="G206:H206"/>
    <mergeCell ref="U189:V189"/>
    <mergeCell ref="H200:I200"/>
    <mergeCell ref="K200:L200"/>
    <mergeCell ref="N200:O200"/>
    <mergeCell ref="Q200:R200"/>
    <mergeCell ref="X155:Y155"/>
    <mergeCell ref="Y159:Z159"/>
    <mergeCell ref="G192:H192"/>
    <mergeCell ref="AC211:AD211"/>
    <mergeCell ref="AH211:AI211"/>
    <mergeCell ref="L212:M212"/>
    <mergeCell ref="O212:P212"/>
    <mergeCell ref="AH205:AI205"/>
    <mergeCell ref="AS197:AT197"/>
    <mergeCell ref="AV197:AW197"/>
    <mergeCell ref="G198:H198"/>
    <mergeCell ref="V200:W200"/>
    <mergeCell ref="Y200:Z200"/>
    <mergeCell ref="Y202:Z202"/>
    <mergeCell ref="AC202:AD202"/>
    <mergeCell ref="K203:L203"/>
    <mergeCell ref="U203:V203"/>
    <mergeCell ref="AB203:AC203"/>
    <mergeCell ref="G212:H212"/>
    <mergeCell ref="AM205:AN205"/>
    <mergeCell ref="AP205:AQ205"/>
    <mergeCell ref="AS205:AT205"/>
    <mergeCell ref="AV205:AW205"/>
    <mergeCell ref="T208:U208"/>
    <mergeCell ref="X208:Y208"/>
    <mergeCell ref="AB209:AC209"/>
    <mergeCell ref="AC219:AD219"/>
    <mergeCell ref="AF219:AG219"/>
    <mergeCell ref="AI219:AJ219"/>
    <mergeCell ref="Z230:AA230"/>
    <mergeCell ref="AX230:AY230"/>
    <mergeCell ref="I231:J231"/>
    <mergeCell ref="N231:O231"/>
    <mergeCell ref="AP191:AQ191"/>
    <mergeCell ref="AS191:AT191"/>
    <mergeCell ref="AV191:AW191"/>
    <mergeCell ref="Q191:R191"/>
    <mergeCell ref="T191:U191"/>
    <mergeCell ref="I213:K213"/>
    <mergeCell ref="O214:Q214"/>
    <mergeCell ref="AD200:AE200"/>
    <mergeCell ref="AP197:AQ197"/>
    <mergeCell ref="AM197:AN197"/>
    <mergeCell ref="AH197:AI197"/>
    <mergeCell ref="AL219:AM219"/>
    <mergeCell ref="H222:I222"/>
    <mergeCell ref="K222:L222"/>
    <mergeCell ref="N222:O222"/>
    <mergeCell ref="Q222:R222"/>
    <mergeCell ref="T222:U222"/>
    <mergeCell ref="J236:K236"/>
    <mergeCell ref="M236:N236"/>
    <mergeCell ref="P236:Q236"/>
    <mergeCell ref="U236:W236"/>
    <mergeCell ref="AC230:AD230"/>
    <mergeCell ref="AJ230:AK230"/>
    <mergeCell ref="F233:G233"/>
    <mergeCell ref="I233:J233"/>
    <mergeCell ref="L233:M233"/>
    <mergeCell ref="O233:P233"/>
    <mergeCell ref="R233:S233"/>
    <mergeCell ref="U233:V233"/>
    <mergeCell ref="X233:Y233"/>
    <mergeCell ref="AA233:AB233"/>
    <mergeCell ref="AD233:AE233"/>
    <mergeCell ref="AK233:AL233"/>
    <mergeCell ref="E230:F230"/>
    <mergeCell ref="H230:I230"/>
    <mergeCell ref="K230:L230"/>
    <mergeCell ref="N230:O230"/>
    <mergeCell ref="Q230:R230"/>
    <mergeCell ref="X194:Y194"/>
    <mergeCell ref="E200:F200"/>
    <mergeCell ref="AP233:AQ233"/>
    <mergeCell ref="AS233:AT233"/>
    <mergeCell ref="AV233:AW233"/>
    <mergeCell ref="AY233:AZ233"/>
    <mergeCell ref="I234:J234"/>
    <mergeCell ref="N234:O234"/>
    <mergeCell ref="Q234:S234"/>
    <mergeCell ref="AP211:AQ211"/>
    <mergeCell ref="AS211:AT211"/>
    <mergeCell ref="AV211:AW211"/>
    <mergeCell ref="AO230:AP230"/>
    <mergeCell ref="AR230:AS230"/>
    <mergeCell ref="AU230:AV230"/>
    <mergeCell ref="E217:G217"/>
    <mergeCell ref="F219:G219"/>
    <mergeCell ref="I219:J219"/>
    <mergeCell ref="L219:M219"/>
    <mergeCell ref="O219:P219"/>
    <mergeCell ref="R219:S219"/>
    <mergeCell ref="U219:V219"/>
    <mergeCell ref="X219:Y219"/>
    <mergeCell ref="F220:H220"/>
    <mergeCell ref="S99:T99"/>
    <mergeCell ref="V99:W99"/>
    <mergeCell ref="J238:K238"/>
    <mergeCell ref="M238:N238"/>
    <mergeCell ref="P238:Q238"/>
    <mergeCell ref="U238:W238"/>
    <mergeCell ref="D95:E95"/>
    <mergeCell ref="G95:H95"/>
    <mergeCell ref="J95:K95"/>
    <mergeCell ref="D100:F100"/>
    <mergeCell ref="E103:F103"/>
    <mergeCell ref="H103:I103"/>
    <mergeCell ref="K103:L103"/>
    <mergeCell ref="N103:O103"/>
    <mergeCell ref="Q103:R103"/>
    <mergeCell ref="C106:D106"/>
    <mergeCell ref="G106:H106"/>
    <mergeCell ref="C110:D110"/>
    <mergeCell ref="F110:G110"/>
    <mergeCell ref="J110:K110"/>
    <mergeCell ref="Q231:S231"/>
    <mergeCell ref="T230:U230"/>
    <mergeCell ref="W230:X230"/>
    <mergeCell ref="T194:U194"/>
    <mergeCell ref="S105:T105"/>
    <mergeCell ref="V105:W105"/>
    <mergeCell ref="M95:N95"/>
    <mergeCell ref="P95:Q95"/>
    <mergeCell ref="U95:V95"/>
    <mergeCell ref="AM108:AN108"/>
    <mergeCell ref="AP108:AQ108"/>
    <mergeCell ref="D107:E107"/>
    <mergeCell ref="E108:F108"/>
    <mergeCell ref="H108:I108"/>
    <mergeCell ref="K108:L108"/>
    <mergeCell ref="N108:O108"/>
    <mergeCell ref="Q108:R108"/>
    <mergeCell ref="T108:U108"/>
    <mergeCell ref="W108:X108"/>
    <mergeCell ref="AB108:AC108"/>
    <mergeCell ref="AA95:AB95"/>
    <mergeCell ref="AD95:AE95"/>
    <mergeCell ref="AG95:AH95"/>
    <mergeCell ref="D96:F96"/>
    <mergeCell ref="E99:F99"/>
    <mergeCell ref="H99:I99"/>
    <mergeCell ref="K99:L99"/>
    <mergeCell ref="P99:Q99"/>
    <mergeCell ref="N110:O110"/>
    <mergeCell ref="C111:D111"/>
    <mergeCell ref="G111:H111"/>
    <mergeCell ref="K111:L111"/>
    <mergeCell ref="U111:V111"/>
    <mergeCell ref="AB111:AC111"/>
    <mergeCell ref="D112:E112"/>
    <mergeCell ref="AE108:AF108"/>
    <mergeCell ref="AH108:AI108"/>
    <mergeCell ref="AM113:AN113"/>
    <mergeCell ref="AP113:AQ113"/>
    <mergeCell ref="E115:F115"/>
    <mergeCell ref="H115:I115"/>
    <mergeCell ref="K115:L115"/>
    <mergeCell ref="N115:O115"/>
    <mergeCell ref="Q115:R115"/>
    <mergeCell ref="V115:W115"/>
    <mergeCell ref="E113:F113"/>
    <mergeCell ref="H113:I113"/>
    <mergeCell ref="K113:L113"/>
    <mergeCell ref="N113:O113"/>
    <mergeCell ref="Q113:R113"/>
    <mergeCell ref="T113:U113"/>
    <mergeCell ref="W113:X113"/>
    <mergeCell ref="Z113:AA113"/>
    <mergeCell ref="AC113:AD113"/>
    <mergeCell ref="C117:D117"/>
    <mergeCell ref="F117:G117"/>
    <mergeCell ref="J117:K117"/>
    <mergeCell ref="M117:N117"/>
    <mergeCell ref="S117:T117"/>
    <mergeCell ref="V117:W117"/>
    <mergeCell ref="C118:D118"/>
    <mergeCell ref="G118:H118"/>
    <mergeCell ref="AH113:AI113"/>
    <mergeCell ref="AH120:AI120"/>
    <mergeCell ref="AM120:AN120"/>
    <mergeCell ref="AP120:AQ120"/>
    <mergeCell ref="D119:E119"/>
    <mergeCell ref="E120:F120"/>
    <mergeCell ref="H120:I120"/>
    <mergeCell ref="K120:L120"/>
    <mergeCell ref="N120:O120"/>
    <mergeCell ref="Q120:R120"/>
    <mergeCell ref="T120:U120"/>
    <mergeCell ref="W120:X120"/>
    <mergeCell ref="AB120:AC120"/>
    <mergeCell ref="C122:D122"/>
    <mergeCell ref="F122:G122"/>
    <mergeCell ref="J122:K122"/>
    <mergeCell ref="N122:O122"/>
    <mergeCell ref="C123:D123"/>
    <mergeCell ref="G123:H123"/>
    <mergeCell ref="K123:L123"/>
    <mergeCell ref="U123:V123"/>
    <mergeCell ref="AE120:AF120"/>
    <mergeCell ref="AH125:AI125"/>
    <mergeCell ref="AM125:AN125"/>
    <mergeCell ref="AP125:AQ125"/>
    <mergeCell ref="I126:K126"/>
    <mergeCell ref="AB123:AC123"/>
    <mergeCell ref="D124:E124"/>
    <mergeCell ref="E125:F125"/>
    <mergeCell ref="H125:I125"/>
    <mergeCell ref="K125:L125"/>
    <mergeCell ref="N125:O125"/>
    <mergeCell ref="Q125:R125"/>
    <mergeCell ref="T125:U125"/>
    <mergeCell ref="W125:X125"/>
    <mergeCell ref="Z125:AA125"/>
    <mergeCell ref="AC125:AD125"/>
    <mergeCell ref="F133:H133"/>
    <mergeCell ref="E135:F135"/>
    <mergeCell ref="H135:I135"/>
    <mergeCell ref="K135:L135"/>
    <mergeCell ref="N135:O135"/>
    <mergeCell ref="Q135:R135"/>
    <mergeCell ref="T135:U135"/>
    <mergeCell ref="W135:X135"/>
    <mergeCell ref="E130:G130"/>
    <mergeCell ref="F132:G132"/>
    <mergeCell ref="I132:J132"/>
    <mergeCell ref="L132:M132"/>
    <mergeCell ref="O132:P132"/>
    <mergeCell ref="R132:S132"/>
    <mergeCell ref="U132:V132"/>
    <mergeCell ref="X132:Y132"/>
    <mergeCell ref="AJ143:AK143"/>
    <mergeCell ref="AO143:AP143"/>
    <mergeCell ref="AR143:AT143"/>
    <mergeCell ref="AK145:AL145"/>
    <mergeCell ref="I137:K137"/>
    <mergeCell ref="F139:G139"/>
    <mergeCell ref="I139:J139"/>
    <mergeCell ref="L139:M139"/>
    <mergeCell ref="O139:P139"/>
    <mergeCell ref="R139:S139"/>
    <mergeCell ref="U139:V139"/>
    <mergeCell ref="X139:Y139"/>
    <mergeCell ref="H143:I143"/>
    <mergeCell ref="K143:L143"/>
    <mergeCell ref="Q143:R143"/>
    <mergeCell ref="T143:U143"/>
    <mergeCell ref="W143:X143"/>
    <mergeCell ref="Z143:AA143"/>
    <mergeCell ref="AC143:AD143"/>
    <mergeCell ref="F145:G145"/>
    <mergeCell ref="I145:J145"/>
    <mergeCell ref="L145:M145"/>
    <mergeCell ref="O145:P145"/>
    <mergeCell ref="R145:S145"/>
    <mergeCell ref="AP145:AQ145"/>
    <mergeCell ref="AS145:AU145"/>
    <mergeCell ref="J147:K147"/>
    <mergeCell ref="M147:N147"/>
    <mergeCell ref="P147:Q147"/>
    <mergeCell ref="U147:W147"/>
    <mergeCell ref="J149:K149"/>
    <mergeCell ref="M149:N149"/>
    <mergeCell ref="P149:Q149"/>
    <mergeCell ref="U149:W149"/>
    <mergeCell ref="U145:V145"/>
    <mergeCell ref="X145:Y145"/>
    <mergeCell ref="AA145:AB145"/>
    <mergeCell ref="AD145:AE145"/>
    <mergeCell ref="AB135:AD135"/>
    <mergeCell ref="AB136:AD136"/>
    <mergeCell ref="AC139:AE139"/>
    <mergeCell ref="F140:G140"/>
    <mergeCell ref="I140:J140"/>
    <mergeCell ref="L140:M140"/>
    <mergeCell ref="O140:P140"/>
    <mergeCell ref="R140:S140"/>
    <mergeCell ref="W140:X140"/>
    <mergeCell ref="Z140:AA140"/>
    <mergeCell ref="AC140:AE140"/>
    <mergeCell ref="E136:F136"/>
    <mergeCell ref="H136:I136"/>
    <mergeCell ref="K136:L136"/>
    <mergeCell ref="N136:O136"/>
    <mergeCell ref="Q136:R136"/>
    <mergeCell ref="V136:W136"/>
    <mergeCell ref="Y136:Z136"/>
    <mergeCell ref="AP222:AR222"/>
    <mergeCell ref="E223:F223"/>
    <mergeCell ref="H223:I223"/>
    <mergeCell ref="K223:L223"/>
    <mergeCell ref="N223:O223"/>
    <mergeCell ref="Q223:R223"/>
    <mergeCell ref="V223:W223"/>
    <mergeCell ref="AB223:AC223"/>
    <mergeCell ref="AE223:AF223"/>
    <mergeCell ref="AH223:AI223"/>
    <mergeCell ref="AK223:AL223"/>
    <mergeCell ref="AP223:AR223"/>
    <mergeCell ref="Y223:Z223"/>
    <mergeCell ref="E222:F222"/>
    <mergeCell ref="W222:X222"/>
    <mergeCell ref="AB222:AC222"/>
    <mergeCell ref="AE222:AF222"/>
    <mergeCell ref="AH222:AI222"/>
    <mergeCell ref="AK222:AL222"/>
    <mergeCell ref="AQ226:AS226"/>
    <mergeCell ref="F227:G227"/>
    <mergeCell ref="I227:J227"/>
    <mergeCell ref="L227:M227"/>
    <mergeCell ref="O227:P227"/>
    <mergeCell ref="R227:S227"/>
    <mergeCell ref="W227:X227"/>
    <mergeCell ref="AC227:AD227"/>
    <mergeCell ref="AF227:AG227"/>
    <mergeCell ref="AI227:AJ227"/>
    <mergeCell ref="AL227:AM227"/>
    <mergeCell ref="AQ227:AS227"/>
    <mergeCell ref="Z227:AA227"/>
    <mergeCell ref="AF226:AG226"/>
    <mergeCell ref="AI226:AJ226"/>
    <mergeCell ref="AL226:AM226"/>
    <mergeCell ref="AC226:AD22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Gurcan Berberoglu</dc:creator>
  <cp:lastModifiedBy>Gurcan Berberoglu</cp:lastModifiedBy>
  <dcterms:created xsi:type="dcterms:W3CDTF">2019-10-18T10:45:34Z</dcterms:created>
  <dcterms:modified xsi:type="dcterms:W3CDTF">2019-10-31T08:55:31Z</dcterms:modified>
</cp:coreProperties>
</file>