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56C44581-DE36-4016-85F4-F6EA1AA1C54A}" xr6:coauthVersionLast="45" xr6:coauthVersionMax="45" xr10:uidLastSave="{00000000-0000-0000-0000-000000000000}"/>
  <bookViews>
    <workbookView xWindow="-120" yWindow="-120" windowWidth="29040" windowHeight="15840" xr2:uid="{024123F4-75D4-469C-BEEC-D09D6E4BE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02" i="1" l="1"/>
  <c r="AW126" i="1"/>
  <c r="AW54" i="1"/>
  <c r="AW23" i="1"/>
  <c r="AQ8" i="1"/>
  <c r="AI235" i="1" l="1"/>
  <c r="AN235" i="1" s="1"/>
  <c r="AI234" i="1"/>
  <c r="AN234" i="1" s="1"/>
  <c r="AI233" i="1"/>
  <c r="AN233" i="1" s="1"/>
  <c r="AI232" i="1"/>
  <c r="AN232" i="1" s="1"/>
  <c r="AI231" i="1"/>
  <c r="AN231" i="1" s="1"/>
  <c r="AI212" i="1"/>
  <c r="AN212" i="1" s="1"/>
  <c r="AI211" i="1"/>
  <c r="AN211" i="1" s="1"/>
  <c r="AI210" i="1"/>
  <c r="AN210" i="1" s="1"/>
  <c r="AI209" i="1"/>
  <c r="AN209" i="1" s="1"/>
  <c r="AI208" i="1"/>
  <c r="AN208" i="1" s="1"/>
  <c r="AI198" i="1"/>
  <c r="AN198" i="1" s="1"/>
  <c r="AI197" i="1"/>
  <c r="AN197" i="1" s="1"/>
  <c r="AI196" i="1"/>
  <c r="AN196" i="1" s="1"/>
  <c r="AI195" i="1"/>
  <c r="AN195" i="1" s="1"/>
  <c r="AI194" i="1"/>
  <c r="AN194" i="1" s="1"/>
  <c r="AI185" i="1"/>
  <c r="AN185" i="1" s="1"/>
  <c r="AI184" i="1"/>
  <c r="AN184" i="1" s="1"/>
  <c r="AI183" i="1"/>
  <c r="AN183" i="1" s="1"/>
  <c r="AI182" i="1"/>
  <c r="AN182" i="1" s="1"/>
  <c r="AI181" i="1"/>
  <c r="AN181" i="1" s="1"/>
  <c r="AI172" i="1"/>
  <c r="AN172" i="1" s="1"/>
  <c r="AI171" i="1"/>
  <c r="AN171" i="1" s="1"/>
  <c r="AI170" i="1"/>
  <c r="AN170" i="1" s="1"/>
  <c r="AI169" i="1"/>
  <c r="AN169" i="1" s="1"/>
  <c r="AI168" i="1"/>
  <c r="AN168" i="1" s="1"/>
  <c r="AI146" i="1"/>
  <c r="AN146" i="1" s="1"/>
  <c r="AI144" i="1"/>
  <c r="AN144" i="1" s="1"/>
  <c r="AI145" i="1"/>
  <c r="AN145" i="1" s="1"/>
  <c r="AI147" i="1"/>
  <c r="AN147" i="1" s="1"/>
  <c r="AI129" i="1"/>
  <c r="AN129" i="1" s="1"/>
  <c r="AI128" i="1"/>
  <c r="AN128" i="1" s="1"/>
  <c r="AI127" i="1"/>
  <c r="AN127" i="1" s="1"/>
  <c r="AI126" i="1"/>
  <c r="AN126" i="1" s="1"/>
  <c r="AI117" i="1"/>
  <c r="AN117" i="1" s="1"/>
  <c r="AI116" i="1"/>
  <c r="AN116" i="1" s="1"/>
  <c r="AI115" i="1"/>
  <c r="AN115" i="1" s="1"/>
  <c r="AI114" i="1"/>
  <c r="AN114" i="1" s="1"/>
  <c r="AI103" i="1"/>
  <c r="AN103" i="1" s="1"/>
  <c r="AI104" i="1"/>
  <c r="AN104" i="1" s="1"/>
  <c r="AI105" i="1"/>
  <c r="AN105" i="1" s="1"/>
  <c r="AI106" i="1"/>
  <c r="AN106" i="1" s="1"/>
  <c r="AI95" i="1"/>
  <c r="AN95" i="1" s="1"/>
  <c r="AI94" i="1"/>
  <c r="AN94" i="1" s="1"/>
  <c r="AI93" i="1"/>
  <c r="AN93" i="1" s="1"/>
  <c r="AI92" i="1"/>
  <c r="AN92" i="1" s="1"/>
  <c r="AI79" i="1"/>
  <c r="AN79" i="1" s="1"/>
  <c r="AI78" i="1"/>
  <c r="AN78" i="1" s="1"/>
  <c r="AI77" i="1"/>
  <c r="AN77" i="1" s="1"/>
  <c r="AI71" i="1"/>
  <c r="AN71" i="1" s="1"/>
  <c r="AI70" i="1"/>
  <c r="AN70" i="1" s="1"/>
  <c r="AI69" i="1"/>
  <c r="AN69" i="1" s="1"/>
  <c r="AI61" i="1"/>
  <c r="AN61" i="1" s="1"/>
  <c r="AI60" i="1"/>
  <c r="AN60" i="1" s="1"/>
  <c r="AI59" i="1"/>
  <c r="AN59" i="1" s="1"/>
  <c r="AI51" i="1"/>
  <c r="AN51" i="1" s="1"/>
  <c r="AI52" i="1"/>
  <c r="AN52" i="1" s="1"/>
  <c r="AI50" i="1"/>
  <c r="AN50" i="1" s="1"/>
  <c r="AH43" i="1"/>
  <c r="AM43" i="1" s="1"/>
  <c r="AH42" i="1"/>
  <c r="AM42" i="1" s="1"/>
  <c r="AH41" i="1"/>
  <c r="AM41" i="1" s="1"/>
  <c r="AI31" i="1"/>
  <c r="AN31" i="1" s="1"/>
  <c r="AI30" i="1"/>
  <c r="AN30" i="1" s="1"/>
  <c r="AI23" i="1"/>
  <c r="AN23" i="1" s="1"/>
  <c r="AI24" i="1"/>
  <c r="AN24" i="1" s="1"/>
  <c r="AH18" i="1"/>
  <c r="AM18" i="1" s="1"/>
  <c r="AH17" i="1"/>
  <c r="AM17" i="1" s="1"/>
  <c r="AF244" i="1"/>
  <c r="AF243" i="1"/>
  <c r="AF242" i="1"/>
  <c r="R242" i="1"/>
  <c r="AF241" i="1"/>
  <c r="AF240" i="1"/>
  <c r="AF239" i="1"/>
  <c r="AF238" i="1"/>
  <c r="AF230" i="1"/>
  <c r="AF229" i="1"/>
  <c r="AF228" i="1"/>
  <c r="R228" i="1"/>
  <c r="AF227" i="1"/>
  <c r="AF226" i="1"/>
  <c r="AF225" i="1"/>
  <c r="AF224" i="1"/>
  <c r="AF221" i="1"/>
  <c r="AF220" i="1"/>
  <c r="AF219" i="1"/>
  <c r="R219" i="1"/>
  <c r="AF218" i="1"/>
  <c r="AF217" i="1"/>
  <c r="AF216" i="1"/>
  <c r="AF215" i="1"/>
  <c r="AF207" i="1"/>
  <c r="AF206" i="1"/>
  <c r="AF205" i="1"/>
  <c r="AF204" i="1"/>
  <c r="R204" i="1"/>
  <c r="AF203" i="1"/>
  <c r="AF202" i="1"/>
  <c r="AF201" i="1"/>
  <c r="AF193" i="1"/>
  <c r="AF192" i="1"/>
  <c r="AF191" i="1"/>
  <c r="R191" i="1"/>
  <c r="AF189" i="1"/>
  <c r="AF180" i="1"/>
  <c r="AF179" i="1"/>
  <c r="AF178" i="1"/>
  <c r="R178" i="1"/>
  <c r="AF177" i="1"/>
  <c r="AF175" i="1"/>
  <c r="AF167" i="1"/>
  <c r="AF166" i="1"/>
  <c r="AF165" i="1"/>
  <c r="AF164" i="1"/>
  <c r="AF163" i="1"/>
  <c r="R163" i="1"/>
  <c r="AF162" i="1"/>
  <c r="AF161" i="1"/>
  <c r="AF160" i="1"/>
  <c r="AF159" i="1"/>
  <c r="AF158" i="1"/>
  <c r="AF157" i="1"/>
  <c r="AF156" i="1"/>
  <c r="AF153" i="1"/>
  <c r="R153" i="1"/>
  <c r="AF152" i="1"/>
  <c r="AF151" i="1"/>
  <c r="AF150" i="1"/>
  <c r="AF143" i="1"/>
  <c r="R143" i="1"/>
  <c r="AF142" i="1"/>
  <c r="AF141" i="1"/>
  <c r="AF140" i="1"/>
  <c r="AF137" i="1"/>
  <c r="AF136" i="1"/>
  <c r="AF135" i="1"/>
  <c r="R135" i="1"/>
  <c r="AF134" i="1"/>
  <c r="AF133" i="1"/>
  <c r="AF132" i="1"/>
  <c r="AF125" i="1"/>
  <c r="AF124" i="1"/>
  <c r="R124" i="1"/>
  <c r="AF123" i="1"/>
  <c r="AF122" i="1"/>
  <c r="AF121" i="1"/>
  <c r="AF120" i="1"/>
  <c r="AF113" i="1"/>
  <c r="R113" i="1"/>
  <c r="AF112" i="1"/>
  <c r="AF111" i="1"/>
  <c r="AF110" i="1"/>
  <c r="AF102" i="1"/>
  <c r="R102" i="1"/>
  <c r="AF101" i="1"/>
  <c r="AF100" i="1"/>
  <c r="AF98" i="1"/>
  <c r="AF91" i="1"/>
  <c r="AF90" i="1"/>
  <c r="AF89" i="1"/>
  <c r="AF88" i="1"/>
  <c r="AF87" i="1"/>
  <c r="R87" i="1"/>
  <c r="AF86" i="1"/>
  <c r="AF85" i="1"/>
  <c r="AF84" i="1"/>
  <c r="AF83" i="1"/>
  <c r="AF82" i="1"/>
  <c r="AF76" i="1"/>
  <c r="R76" i="1"/>
  <c r="AF75" i="1"/>
  <c r="AF74" i="1"/>
  <c r="AF73" i="1"/>
  <c r="AF68" i="1"/>
  <c r="AF67" i="1"/>
  <c r="R67" i="1"/>
  <c r="AF66" i="1"/>
  <c r="AF65" i="1"/>
  <c r="AF64" i="1"/>
  <c r="AF58" i="1"/>
  <c r="R58" i="1"/>
  <c r="AF57" i="1"/>
  <c r="AF56" i="1"/>
  <c r="AF49" i="1"/>
  <c r="R49" i="1"/>
  <c r="AF48" i="1"/>
  <c r="AF47" i="1"/>
  <c r="AF46" i="1"/>
  <c r="AF40" i="1"/>
  <c r="AF39" i="1"/>
  <c r="AF38" i="1"/>
  <c r="R38" i="1"/>
  <c r="AF37" i="1"/>
  <c r="AF36" i="1"/>
  <c r="AF35" i="1"/>
  <c r="AF34" i="1"/>
  <c r="R31" i="1"/>
  <c r="AF29" i="1"/>
  <c r="R23" i="1"/>
  <c r="AF22" i="1"/>
  <c r="AF21" i="1"/>
  <c r="AF20" i="1"/>
  <c r="AF16" i="1"/>
  <c r="R16" i="1"/>
  <c r="AF15" i="1"/>
  <c r="AF14" i="1"/>
  <c r="AF13" i="1"/>
  <c r="AF12" i="1"/>
  <c r="AW53" i="1" l="1"/>
  <c r="AW22" i="1"/>
  <c r="AW201" i="1"/>
  <c r="AW125" i="1"/>
</calcChain>
</file>

<file path=xl/sharedStrings.xml><?xml version="1.0" encoding="utf-8"?>
<sst xmlns="http://schemas.openxmlformats.org/spreadsheetml/2006/main" count="899" uniqueCount="224">
  <si>
    <t>q=</t>
  </si>
  <si>
    <t>dikkat sadece sarı hücrelere rakam giriniz.</t>
  </si>
  <si>
    <t>L=</t>
  </si>
  <si>
    <t>2  ADET EŞİT AÇIKLIK</t>
  </si>
  <si>
    <t>M1</t>
  </si>
  <si>
    <t>0,070 * q * L² =</t>
  </si>
  <si>
    <t>minMb</t>
  </si>
  <si>
    <t>-0,125 * q * L² =</t>
  </si>
  <si>
    <t>A</t>
  </si>
  <si>
    <t>0,375 * q * L =</t>
  </si>
  <si>
    <t>B</t>
  </si>
  <si>
    <t>C</t>
  </si>
  <si>
    <t>maxB</t>
  </si>
  <si>
    <t>1,250 * q * L =</t>
  </si>
  <si>
    <t>L</t>
  </si>
  <si>
    <t>minV1b</t>
  </si>
  <si>
    <t>-0,625 * q * L =</t>
  </si>
  <si>
    <t>maxM1</t>
  </si>
  <si>
    <t>0,096 * q * L² =</t>
  </si>
  <si>
    <t>Mb</t>
  </si>
  <si>
    <t>-0,063 * q * L² =</t>
  </si>
  <si>
    <t>maxA</t>
  </si>
  <si>
    <t>0,438 * q * L =</t>
  </si>
  <si>
    <t>minM1</t>
  </si>
  <si>
    <t xml:space="preserve">       ------------------</t>
  </si>
  <si>
    <t>minA</t>
  </si>
  <si>
    <t>-0,063 * q * L =</t>
  </si>
  <si>
    <t>3  ADET EŞİT AÇIKLIK</t>
  </si>
  <si>
    <t>0,080 * q * L² =</t>
  </si>
  <si>
    <t>M2</t>
  </si>
  <si>
    <t>0,025 * q * L² =</t>
  </si>
  <si>
    <t>-0,100 * q * L² =</t>
  </si>
  <si>
    <t>D</t>
  </si>
  <si>
    <t>0,400 * q * L =</t>
  </si>
  <si>
    <t>1,100 * q * L =</t>
  </si>
  <si>
    <t>V1b</t>
  </si>
  <si>
    <t>-0,600 * q * L =</t>
  </si>
  <si>
    <t>V2b</t>
  </si>
  <si>
    <t>0,500 * q * L =</t>
  </si>
  <si>
    <t>0,101 * q * L² =</t>
  </si>
  <si>
    <t>minM2</t>
  </si>
  <si>
    <t>-0,050 * q * L² =</t>
  </si>
  <si>
    <t>0,450 * q * L =</t>
  </si>
  <si>
    <t>maxM2</t>
  </si>
  <si>
    <t>0,075 * q * L² =</t>
  </si>
  <si>
    <t>-0,050 * q * L =</t>
  </si>
  <si>
    <t>-0,117 * q * L² =</t>
  </si>
  <si>
    <t>Mc</t>
  </si>
  <si>
    <t>-0,033 * q * L² =</t>
  </si>
  <si>
    <t>1,200 * q * L =</t>
  </si>
  <si>
    <t>-0,617 * q * L =</t>
  </si>
  <si>
    <t>maxV2b</t>
  </si>
  <si>
    <t>0,583 * q * L =</t>
  </si>
  <si>
    <t>maxMb</t>
  </si>
  <si>
    <t>0,017 * q * L² =</t>
  </si>
  <si>
    <t>-0,067 * q * L² =</t>
  </si>
  <si>
    <t>0,170 * q * L =</t>
  </si>
  <si>
    <t>-0,083 * q * L =</t>
  </si>
  <si>
    <t>4  ADET EŞİT AÇIKLIK</t>
  </si>
  <si>
    <t>0,077 * q * L² =</t>
  </si>
  <si>
    <t>0,036 * q * L² =</t>
  </si>
  <si>
    <t>-0,107 * q * L² =</t>
  </si>
  <si>
    <t>-0,071 * q * L² =</t>
  </si>
  <si>
    <t>E</t>
  </si>
  <si>
    <t>0,393 * q * L =</t>
  </si>
  <si>
    <t>1,143 * q * L =</t>
  </si>
  <si>
    <t>0,929 * q * L =</t>
  </si>
  <si>
    <t>-0,607 * q * L =</t>
  </si>
  <si>
    <t>0,536 * q * L =</t>
  </si>
  <si>
    <t>V2c</t>
  </si>
  <si>
    <t>-0,464 * q * L =</t>
  </si>
  <si>
    <t>0,100 * q * L² =</t>
  </si>
  <si>
    <t>Mb=Md</t>
  </si>
  <si>
    <t>-0,054 * q * L² =</t>
  </si>
  <si>
    <t>-0,036 * q * L² =</t>
  </si>
  <si>
    <t>0,446 * q * L =</t>
  </si>
  <si>
    <t>-0,054 * q * L =</t>
  </si>
  <si>
    <t>-0,121 * q * L² =</t>
  </si>
  <si>
    <t>-0,018 * q * L² =</t>
  </si>
  <si>
    <t>Md</t>
  </si>
  <si>
    <t>-0,058 * q * L² =</t>
  </si>
  <si>
    <t>minB</t>
  </si>
  <si>
    <t>1,223 * q * L =</t>
  </si>
  <si>
    <t>maxV1b</t>
  </si>
  <si>
    <t>-0,621 * q * L =</t>
  </si>
  <si>
    <t>minV2b</t>
  </si>
  <si>
    <t>0,603 * q * L =</t>
  </si>
  <si>
    <t>0,013 * q * L² =</t>
  </si>
  <si>
    <t>-0,049 * q * L² =</t>
  </si>
  <si>
    <t>-0,080 * q * L =</t>
  </si>
  <si>
    <t>0,013 * q * L =</t>
  </si>
  <si>
    <t>-0,067 * q * L =</t>
  </si>
  <si>
    <t>minMc</t>
  </si>
  <si>
    <t>maxC</t>
  </si>
  <si>
    <t>maxV2c</t>
  </si>
  <si>
    <t>-0,571 * q * L =</t>
  </si>
  <si>
    <t>maxMc</t>
  </si>
  <si>
    <t>minC</t>
  </si>
  <si>
    <t>-0,214 * q * L =</t>
  </si>
  <si>
    <t>0,107 * q * L =</t>
  </si>
  <si>
    <t>5  ADET EŞİT AÇIKLIK</t>
  </si>
  <si>
    <t>0,078 * q * L² =</t>
  </si>
  <si>
    <t>0,033 * q * L² =</t>
  </si>
  <si>
    <t>M3</t>
  </si>
  <si>
    <t>0,046 * q * L² =</t>
  </si>
  <si>
    <t>-0,105 * q * L² =</t>
  </si>
  <si>
    <t>-0,079 * q * L² =</t>
  </si>
  <si>
    <t>0,395 * q * L =</t>
  </si>
  <si>
    <t>F</t>
  </si>
  <si>
    <t>1,132 * q * L =</t>
  </si>
  <si>
    <t>0,974 * q * L =</t>
  </si>
  <si>
    <t>v1b</t>
  </si>
  <si>
    <t>-0,605 * q * L =</t>
  </si>
  <si>
    <t>v2b</t>
  </si>
  <si>
    <t>0,526 * q * L =</t>
  </si>
  <si>
    <t>v2c</t>
  </si>
  <si>
    <t>-0,474 * q * L =</t>
  </si>
  <si>
    <t>v3c</t>
  </si>
  <si>
    <t>maxM3</t>
  </si>
  <si>
    <t>0,086 * q * L² =</t>
  </si>
  <si>
    <t>-0,053 * q * L² =</t>
  </si>
  <si>
    <t>-0,039 * q * L² =</t>
  </si>
  <si>
    <t>0,447 * q * L =</t>
  </si>
  <si>
    <t>0,079 * q * L² =</t>
  </si>
  <si>
    <t>minM3</t>
  </si>
  <si>
    <t>-0,053 * q * L =</t>
  </si>
  <si>
    <t>-0,120 * q * L² =</t>
  </si>
  <si>
    <t>-0,022 * q * L² =</t>
  </si>
  <si>
    <t>-0,044 * q * L² =</t>
  </si>
  <si>
    <t>Me</t>
  </si>
  <si>
    <t>-0,051 * q * L² =</t>
  </si>
  <si>
    <t>1,218 * q * L =</t>
  </si>
  <si>
    <t>-0,620 * q * L =</t>
  </si>
  <si>
    <t>0,598 * q * L =</t>
  </si>
  <si>
    <t>0,014 * q * L² =</t>
  </si>
  <si>
    <t>-0,057 * q * L² =</t>
  </si>
  <si>
    <t>-0,035 * q * L² =</t>
  </si>
  <si>
    <t>-0,086 * q * L =</t>
  </si>
  <si>
    <t>0,014 * q * L =</t>
  </si>
  <si>
    <t>-0,072 * q * L =</t>
  </si>
  <si>
    <t>-0,111 * q * L² =</t>
  </si>
  <si>
    <t>-0,020 * q * L² =</t>
  </si>
  <si>
    <t>1,167 * q * L =</t>
  </si>
  <si>
    <t>minV2c</t>
  </si>
  <si>
    <t>-0,576 * q * L =</t>
  </si>
  <si>
    <t>maxV3c</t>
  </si>
  <si>
    <t>0,591 * q * L =</t>
  </si>
  <si>
    <t>0,032 * q * L² =</t>
  </si>
  <si>
    <t>-0,059 * q * L² =</t>
  </si>
  <si>
    <t>-0,048 * q * L² =</t>
  </si>
  <si>
    <t>-0,194 * q * L =</t>
  </si>
  <si>
    <t>0,103 * q * L =</t>
  </si>
  <si>
    <t>minV3c</t>
  </si>
  <si>
    <t>-0,091 * q * L =</t>
  </si>
  <si>
    <t>E=</t>
  </si>
  <si>
    <t>cm4</t>
  </si>
  <si>
    <r>
      <rPr>
        <sz val="8"/>
        <rFont val="Symbol"/>
        <family val="1"/>
        <charset val="2"/>
      </rPr>
      <t>I</t>
    </r>
    <r>
      <rPr>
        <sz val="8"/>
        <rFont val="Arial"/>
        <family val="2"/>
        <charset val="162"/>
      </rPr>
      <t>x=</t>
    </r>
  </si>
  <si>
    <t>d1</t>
  </si>
  <si>
    <t>d2</t>
  </si>
  <si>
    <t>KN/m</t>
  </si>
  <si>
    <t>m</t>
  </si>
  <si>
    <t>KNm</t>
  </si>
  <si>
    <t>KN</t>
  </si>
  <si>
    <t>N/mm²</t>
  </si>
  <si>
    <t>=</t>
  </si>
  <si>
    <t>mm</t>
  </si>
  <si>
    <t>d3</t>
  </si>
  <si>
    <r>
      <t>0,521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</si>
  <si>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0,912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</si>
  <si>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rPr>
        <sz val="8"/>
        <rFont val="Arial"/>
        <charset val="162"/>
      </rPr>
      <t xml:space="preserve"> </t>
    </r>
    <r>
      <rPr>
        <sz val="8"/>
        <rFont val="Arial"/>
        <family val="2"/>
        <charset val="162"/>
      </rPr>
      <t xml:space="preserve">-0,391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</si>
  <si>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0,677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</si>
  <si>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0,052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</si>
  <si>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0,990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</si>
  <si>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-0,625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</si>
  <si>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-0,313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</si>
  <si>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0,573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</si>
  <si>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0,365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</si>
  <si>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-0,208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</si>
  <si>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0,885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</si>
  <si>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0,104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</si>
  <si>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t>d4</t>
  </si>
  <si>
    <r>
      <t>0,632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</si>
  <si>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0,186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</si>
  <si>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0,186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</si>
  <si>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0,967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</si>
  <si>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-0,558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</si>
  <si>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0,744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</si>
  <si>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-0,355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</si>
  <si>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 xml:space="preserve">0,549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</si>
  <si>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0,437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</si>
  <si>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-0,474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</si>
  <si>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0,939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</si>
  <si>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-0,223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</si>
  <si>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0,409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</si>
  <si>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-0,223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</si>
  <si>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0,409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</si>
  <si>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t>d5</t>
  </si>
  <si>
    <r>
      <t xml:space="preserve">0,644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</si>
  <si>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0,151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</si>
  <si>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0,315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</si>
  <si>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0,644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</si>
  <si>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0,973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</si>
  <si>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 xml:space="preserve"> -0,576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</si>
  <si>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0,809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</si>
  <si>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0,973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</si>
  <si>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-0,329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</si>
  <si>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0,727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</si>
  <si>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-0,493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</si>
  <si>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0,555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</si>
  <si>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0,420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</si>
  <si>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-0,411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</si>
  <si>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0,704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</si>
  <si>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-0,321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</si>
  <si>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-0,217 * q * L4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family val="2"/>
        <charset val="162"/>
      </rPr>
      <t>)</t>
    </r>
    <r>
      <rPr>
        <sz val="8"/>
        <rFont val="Arial"/>
        <charset val="162"/>
      </rPr>
      <t xml:space="preserve"> =</t>
    </r>
  </si>
  <si>
    <r>
      <t>0,390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</si>
  <si>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0,480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</si>
  <si>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 xml:space="preserve"> -0,486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</si>
  <si>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t>0,943 * q * L</t>
    </r>
    <r>
      <rPr>
        <vertAlign val="superscript"/>
        <sz val="8"/>
        <rFont val="Arial"/>
        <family val="2"/>
        <charset val="162"/>
      </rPr>
      <t>4</t>
    </r>
    <r>
      <rPr>
        <sz val="8"/>
        <rFont val="Arial"/>
        <family val="2"/>
        <charset val="162"/>
      </rPr>
      <t xml:space="preserve"> / ( E * </t>
    </r>
    <r>
      <rPr>
        <sz val="8"/>
        <rFont val="Symbol"/>
        <family val="1"/>
        <charset val="2"/>
      </rPr>
      <t xml:space="preserve">I </t>
    </r>
    <r>
      <rPr>
        <sz val="8"/>
        <rFont val="Arial"/>
        <charset val="162"/>
      </rPr>
      <t>) =</t>
    </r>
  </si>
  <si>
    <r>
      <rPr>
        <b/>
        <sz val="12"/>
        <color theme="7" tint="-0.499984740745262"/>
        <rFont val="Arial"/>
        <family val="2"/>
        <charset val="162"/>
      </rPr>
      <t xml:space="preserve">EŞİT AÇIKLIKLI SÜREKLİ KİRİŞ
</t>
    </r>
    <r>
      <rPr>
        <b/>
        <sz val="8"/>
        <color theme="7" tint="-0.499984740745262"/>
        <rFont val="Arial"/>
        <family val="2"/>
        <charset val="162"/>
      </rPr>
      <t xml:space="preserve">( inş.müh. Gürcan BERBEROĞLU tel: 0532 366 02 04   www.betoncelik.com )                                                                                                                                                                     </t>
    </r>
  </si>
  <si>
    <t>(elastisite modülü)</t>
  </si>
  <si>
    <t>(atalet momenti)</t>
  </si>
  <si>
    <r>
      <t>d</t>
    </r>
    <r>
      <rPr>
        <sz val="8"/>
        <rFont val="Arial"/>
        <family val="2"/>
        <charset val="162"/>
      </rPr>
      <t>max</t>
    </r>
    <r>
      <rPr>
        <sz val="8"/>
        <rFont val="Symbol"/>
        <family val="1"/>
        <charset val="2"/>
      </rPr>
      <t xml:space="preserve"> =</t>
    </r>
  </si>
  <si>
    <r>
      <t>d</t>
    </r>
    <r>
      <rPr>
        <sz val="8"/>
        <rFont val="Arial"/>
        <family val="2"/>
        <charset val="162"/>
      </rPr>
      <t xml:space="preserve"> = sehim</t>
    </r>
  </si>
  <si>
    <r>
      <t>d</t>
    </r>
    <r>
      <rPr>
        <sz val="8"/>
        <rFont val="Arial"/>
        <family val="2"/>
        <charset val="162"/>
      </rPr>
      <t xml:space="preserve">max = L / 300 </t>
    </r>
    <r>
      <rPr>
        <sz val="8"/>
        <rFont val="Symbol"/>
        <family val="1"/>
        <charset val="2"/>
      </rPr>
      <t>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</si>
</sst>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>
    <font>
      <sz val="8"/>
      <color theme="1"/>
      <name val="Arial"/>
      <family val="2"/>
      <charset val="162"/>
    </font>
    <font>
      <sz val="8"/>
      <name val="Arial"/>
      <charset val="162"/>
    </font>
    <font>
      <b/>
      <sz val="8"/>
      <color indexed="10"/>
      <name val="Arial"/>
      <family val="2"/>
      <charset val="162"/>
    </font>
    <font>
      <b/>
      <sz val="8"/>
      <name val="Arial"/>
      <family val="2"/>
      <charset val="162"/>
    </font>
    <font>
      <sz val="8"/>
      <name val="Symbol"/>
      <family val="1"/>
      <charset val="2"/>
    </font>
    <font>
      <sz val="8"/>
      <name val="Arial"/>
      <family val="2"/>
      <charset val="162"/>
    </font>
    <font>
      <sz val="8"/>
      <name val="Arial"/>
      <family val="1"/>
      <charset val="2"/>
    </font>
    <font>
      <vertAlign val="superscript"/>
      <sz val="8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Vertical">
        <bgColor indexed="8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164" fontId="1" fillId="0" borderId="9" xfId="0" applyNumberFormat="1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164" fontId="1" fillId="0" borderId="15" xfId="0" applyNumberFormat="1" applyFont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vertical="center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64" fontId="1" fillId="0" borderId="0" xfId="0" applyNumberFormat="1" applyFont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1" fillId="0" borderId="0" xfId="0" quotePrefix="1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6" borderId="23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8" fillId="6" borderId="24" xfId="0" applyFont="1" applyFill="1" applyBorder="1" applyAlignment="1" applyProtection="1">
      <alignment horizontal="center" vertical="center" wrapText="1"/>
      <protection hidden="1"/>
    </xf>
    <xf numFmtId="164" fontId="1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 textRotation="90"/>
      <protection hidden="1"/>
    </xf>
    <xf numFmtId="0" fontId="3" fillId="0" borderId="4" xfId="0" applyFont="1" applyBorder="1" applyAlignment="1" applyProtection="1">
      <alignment horizontal="center" vertical="center" textRotation="90"/>
      <protection hidden="1"/>
    </xf>
    <xf numFmtId="0" fontId="3" fillId="0" borderId="17" xfId="0" applyFont="1" applyBorder="1" applyAlignment="1" applyProtection="1">
      <alignment horizontal="center" vertical="center" textRotation="90"/>
      <protection hidden="1"/>
    </xf>
    <xf numFmtId="164" fontId="1" fillId="0" borderId="0" xfId="0" quotePrefix="1" applyNumberFormat="1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 textRotation="90"/>
      <protection hidden="1"/>
    </xf>
    <xf numFmtId="0" fontId="0" fillId="0" borderId="9" xfId="0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109538</xdr:colOff>
      <xdr:row>13</xdr:row>
      <xdr:rowOff>0</xdr:rowOff>
    </xdr:from>
    <xdr:to>
      <xdr:col>19</xdr:col>
      <xdr:colOff>57150</xdr:colOff>
      <xdr:row>16</xdr:row>
      <xdr:rowOff>61913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C62B6B9-0E73-4DB6-9794-3687D9C68CE0}"/>
            </a:ext>
          </a:extLst>
        </xdr:cNvPr>
        <xdr:cNvGrpSpPr/>
      </xdr:nvGrpSpPr>
      <xdr:grpSpPr>
        <a:xfrm>
          <a:off x="2052638" y="2305050"/>
          <a:ext cx="1081087" cy="490538"/>
          <a:chOff x="2052638" y="2305050"/>
          <a:chExt cx="1081087" cy="490538"/>
        </a:xfrm>
      </xdr:grpSpPr>
      <xdr:sp macro="" textlink="">
        <xdr:nvSpPr>
          <xdr:cNvPr id="2" name="AutoShape 1">
            <a:extLst>
              <a:ext uri="{FF2B5EF4-FFF2-40B4-BE49-F238E27FC236}">
                <a16:creationId xmlns:a16="http://schemas.microsoft.com/office/drawing/2014/main" id="{EABC2CA5-CBC0-4BFB-8215-37571D8E29BF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2305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id="{F66A5E4D-EED7-407F-9289-281BB6621F16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2305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7D7BB7B3-63B2-4E82-A351-69514B469A12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23145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F32BE71-6634-44E6-BE70-CB4E75F2A8A4}"/>
              </a:ext>
            </a:extLst>
          </xdr:cNvPr>
          <xdr:cNvSpPr>
            <a:spLocks noChangeShapeType="1"/>
          </xdr:cNvSpPr>
        </xdr:nvSpPr>
        <xdr:spPr bwMode="auto">
          <a:xfrm>
            <a:off x="2105025" y="2609850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BE0DFE20-FCAC-4819-882C-FA0A79BC7773}"/>
              </a:ext>
            </a:extLst>
          </xdr:cNvPr>
          <xdr:cNvSpPr>
            <a:spLocks noChangeShapeType="1"/>
          </xdr:cNvSpPr>
        </xdr:nvSpPr>
        <xdr:spPr bwMode="auto">
          <a:xfrm>
            <a:off x="2052638" y="2733675"/>
            <a:ext cx="1081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802D5C3D-D13C-41A7-9D61-EB9DFE5DB06D}"/>
              </a:ext>
            </a:extLst>
          </xdr:cNvPr>
          <xdr:cNvSpPr>
            <a:spLocks noChangeShapeType="1"/>
          </xdr:cNvSpPr>
        </xdr:nvSpPr>
        <xdr:spPr bwMode="auto">
          <a:xfrm>
            <a:off x="3076575" y="2619375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A6B32A9C-D5B6-4EBF-9E74-90DA4AD383A0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2162" y="2700338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40A79F36-C475-48E7-AE10-DC5EB2F928E3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6" y="2695574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0" name="Line 9">
            <a:extLst>
              <a:ext uri="{FF2B5EF4-FFF2-40B4-BE49-F238E27FC236}">
                <a16:creationId xmlns:a16="http://schemas.microsoft.com/office/drawing/2014/main" id="{1EFE9095-EAAE-40F3-A4E9-03C8DEE6C18B}"/>
              </a:ext>
            </a:extLst>
          </xdr:cNvPr>
          <xdr:cNvSpPr>
            <a:spLocks noChangeShapeType="1"/>
          </xdr:cNvSpPr>
        </xdr:nvSpPr>
        <xdr:spPr bwMode="auto">
          <a:xfrm>
            <a:off x="2590800" y="2619376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32EE1C4D-6893-4A1D-A8D3-E232D0FED1E9}"/>
              </a:ext>
            </a:extLst>
          </xdr:cNvPr>
          <xdr:cNvSpPr>
            <a:spLocks noChangeShapeType="1"/>
          </xdr:cNvSpPr>
        </xdr:nvSpPr>
        <xdr:spPr bwMode="auto">
          <a:xfrm flipH="1">
            <a:off x="2562226" y="2700336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12</xdr:col>
      <xdr:colOff>123824</xdr:colOff>
      <xdr:row>121</xdr:row>
      <xdr:rowOff>0</xdr:rowOff>
    </xdr:from>
    <xdr:to>
      <xdr:col>13</xdr:col>
      <xdr:colOff>47624</xdr:colOff>
      <xdr:row>121</xdr:row>
      <xdr:rowOff>104775</xdr:rowOff>
    </xdr:to>
    <xdr:sp macro="" textlink="">
      <xdr:nvSpPr>
        <xdr:cNvPr id="158" name="AutoShape 268">
          <a:extLst>
            <a:ext uri="{FF2B5EF4-FFF2-40B4-BE49-F238E27FC236}">
              <a16:creationId xmlns:a16="http://schemas.microsoft.com/office/drawing/2014/main" id="{6A764EB9-7092-4EBC-BC21-EB1DAD32F7BB}"/>
            </a:ext>
          </a:extLst>
        </xdr:cNvPr>
        <xdr:cNvSpPr>
          <a:spLocks noChangeArrowheads="1"/>
        </xdr:cNvSpPr>
      </xdr:nvSpPr>
      <xdr:spPr bwMode="auto">
        <a:xfrm>
          <a:off x="2714624" y="174402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123824</xdr:colOff>
      <xdr:row>121</xdr:row>
      <xdr:rowOff>0</xdr:rowOff>
    </xdr:from>
    <xdr:to>
      <xdr:col>16</xdr:col>
      <xdr:colOff>47624</xdr:colOff>
      <xdr:row>121</xdr:row>
      <xdr:rowOff>104775</xdr:rowOff>
    </xdr:to>
    <xdr:sp macro="" textlink="">
      <xdr:nvSpPr>
        <xdr:cNvPr id="159" name="AutoShape 269">
          <a:extLst>
            <a:ext uri="{FF2B5EF4-FFF2-40B4-BE49-F238E27FC236}">
              <a16:creationId xmlns:a16="http://schemas.microsoft.com/office/drawing/2014/main" id="{ED65BBA8-C459-4221-8CC0-8B3F85D93CEB}"/>
            </a:ext>
          </a:extLst>
        </xdr:cNvPr>
        <xdr:cNvSpPr>
          <a:spLocks noChangeArrowheads="1"/>
        </xdr:cNvSpPr>
      </xdr:nvSpPr>
      <xdr:spPr bwMode="auto">
        <a:xfrm>
          <a:off x="3200399" y="174402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123824</xdr:colOff>
      <xdr:row>121</xdr:row>
      <xdr:rowOff>9525</xdr:rowOff>
    </xdr:from>
    <xdr:to>
      <xdr:col>19</xdr:col>
      <xdr:colOff>47624</xdr:colOff>
      <xdr:row>121</xdr:row>
      <xdr:rowOff>114300</xdr:rowOff>
    </xdr:to>
    <xdr:sp macro="" textlink="">
      <xdr:nvSpPr>
        <xdr:cNvPr id="160" name="AutoShape 270">
          <a:extLst>
            <a:ext uri="{FF2B5EF4-FFF2-40B4-BE49-F238E27FC236}">
              <a16:creationId xmlns:a16="http://schemas.microsoft.com/office/drawing/2014/main" id="{AA4C7D8E-0627-420F-9510-A064316B3A68}"/>
            </a:ext>
          </a:extLst>
        </xdr:cNvPr>
        <xdr:cNvSpPr>
          <a:spLocks noChangeArrowheads="1"/>
        </xdr:cNvSpPr>
      </xdr:nvSpPr>
      <xdr:spPr bwMode="auto">
        <a:xfrm>
          <a:off x="3686174" y="17449800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123824</xdr:colOff>
      <xdr:row>121</xdr:row>
      <xdr:rowOff>0</xdr:rowOff>
    </xdr:from>
    <xdr:to>
      <xdr:col>10</xdr:col>
      <xdr:colOff>47624</xdr:colOff>
      <xdr:row>121</xdr:row>
      <xdr:rowOff>104775</xdr:rowOff>
    </xdr:to>
    <xdr:sp macro="" textlink="">
      <xdr:nvSpPr>
        <xdr:cNvPr id="168" name="AutoShape 278">
          <a:extLst>
            <a:ext uri="{FF2B5EF4-FFF2-40B4-BE49-F238E27FC236}">
              <a16:creationId xmlns:a16="http://schemas.microsoft.com/office/drawing/2014/main" id="{99811EDD-DC0C-49B1-BBCD-19CC35636430}"/>
            </a:ext>
          </a:extLst>
        </xdr:cNvPr>
        <xdr:cNvSpPr>
          <a:spLocks noChangeArrowheads="1"/>
        </xdr:cNvSpPr>
      </xdr:nvSpPr>
      <xdr:spPr bwMode="auto">
        <a:xfrm>
          <a:off x="2228849" y="174402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123824</xdr:colOff>
      <xdr:row>121</xdr:row>
      <xdr:rowOff>0</xdr:rowOff>
    </xdr:from>
    <xdr:to>
      <xdr:col>7</xdr:col>
      <xdr:colOff>47624</xdr:colOff>
      <xdr:row>121</xdr:row>
      <xdr:rowOff>104775</xdr:rowOff>
    </xdr:to>
    <xdr:sp macro="" textlink="">
      <xdr:nvSpPr>
        <xdr:cNvPr id="171" name="AutoShape 281">
          <a:extLst>
            <a:ext uri="{FF2B5EF4-FFF2-40B4-BE49-F238E27FC236}">
              <a16:creationId xmlns:a16="http://schemas.microsoft.com/office/drawing/2014/main" id="{F01992D0-D16B-4CB1-B853-ABA926D97097}"/>
            </a:ext>
          </a:extLst>
        </xdr:cNvPr>
        <xdr:cNvSpPr>
          <a:spLocks noChangeArrowheads="1"/>
        </xdr:cNvSpPr>
      </xdr:nvSpPr>
      <xdr:spPr bwMode="auto">
        <a:xfrm>
          <a:off x="1743074" y="17440275"/>
          <a:ext cx="85725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100013</xdr:colOff>
      <xdr:row>4</xdr:row>
      <xdr:rowOff>9525</xdr:rowOff>
    </xdr:from>
    <xdr:to>
      <xdr:col>34</xdr:col>
      <xdr:colOff>52388</xdr:colOff>
      <xdr:row>9</xdr:row>
      <xdr:rowOff>47625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2B16BDE6-4E05-412F-AE6D-DFCEF084CA7F}"/>
            </a:ext>
          </a:extLst>
        </xdr:cNvPr>
        <xdr:cNvGrpSpPr/>
      </xdr:nvGrpSpPr>
      <xdr:grpSpPr>
        <a:xfrm>
          <a:off x="4795838" y="1000125"/>
          <a:ext cx="762000" cy="762000"/>
          <a:chOff x="4795838" y="1000125"/>
          <a:chExt cx="762000" cy="762000"/>
        </a:xfrm>
      </xdr:grpSpPr>
      <xdr:sp macro="" textlink="">
        <xdr:nvSpPr>
          <xdr:cNvPr id="12" name="AutoShape 11">
            <a:extLst>
              <a:ext uri="{FF2B5EF4-FFF2-40B4-BE49-F238E27FC236}">
                <a16:creationId xmlns:a16="http://schemas.microsoft.com/office/drawing/2014/main" id="{13DAD686-E5A2-42E5-A1A8-ADB80CF29580}"/>
              </a:ext>
            </a:extLst>
          </xdr:cNvPr>
          <xdr:cNvSpPr>
            <a:spLocks noChangeArrowheads="1"/>
          </xdr:cNvSpPr>
        </xdr:nvSpPr>
        <xdr:spPr bwMode="auto">
          <a:xfrm>
            <a:off x="4824412" y="1290638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AutoShape 12">
            <a:extLst>
              <a:ext uri="{FF2B5EF4-FFF2-40B4-BE49-F238E27FC236}">
                <a16:creationId xmlns:a16="http://schemas.microsoft.com/office/drawing/2014/main" id="{5C974BBB-20B5-483F-AB4F-71F851C55F32}"/>
              </a:ext>
            </a:extLst>
          </xdr:cNvPr>
          <xdr:cNvSpPr>
            <a:spLocks noChangeArrowheads="1"/>
          </xdr:cNvSpPr>
        </xdr:nvSpPr>
        <xdr:spPr bwMode="auto">
          <a:xfrm>
            <a:off x="5467349" y="1285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" name="Line 18">
            <a:extLst>
              <a:ext uri="{FF2B5EF4-FFF2-40B4-BE49-F238E27FC236}">
                <a16:creationId xmlns:a16="http://schemas.microsoft.com/office/drawing/2014/main" id="{5FFB0F28-DC5B-49D9-BC07-5FDA527EE90B}"/>
              </a:ext>
            </a:extLst>
          </xdr:cNvPr>
          <xdr:cNvSpPr>
            <a:spLocks noChangeShapeType="1"/>
          </xdr:cNvSpPr>
        </xdr:nvSpPr>
        <xdr:spPr bwMode="auto">
          <a:xfrm flipV="1">
            <a:off x="5200650" y="1000125"/>
            <a:ext cx="85725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0" name="Line 140">
            <a:extLst>
              <a:ext uri="{FF2B5EF4-FFF2-40B4-BE49-F238E27FC236}">
                <a16:creationId xmlns:a16="http://schemas.microsoft.com/office/drawing/2014/main" id="{CFC74B5A-56C6-478B-8F0B-3C5484E3571F}"/>
              </a:ext>
            </a:extLst>
          </xdr:cNvPr>
          <xdr:cNvSpPr>
            <a:spLocks noChangeShapeType="1"/>
          </xdr:cNvSpPr>
        </xdr:nvSpPr>
        <xdr:spPr bwMode="auto">
          <a:xfrm>
            <a:off x="4857750" y="1143000"/>
            <a:ext cx="0" cy="1428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141">
            <a:extLst>
              <a:ext uri="{FF2B5EF4-FFF2-40B4-BE49-F238E27FC236}">
                <a16:creationId xmlns:a16="http://schemas.microsoft.com/office/drawing/2014/main" id="{AFAF2EA3-B18C-4FF7-B200-5518EB905B7F}"/>
              </a:ext>
            </a:extLst>
          </xdr:cNvPr>
          <xdr:cNvSpPr>
            <a:spLocks noChangeShapeType="1"/>
          </xdr:cNvSpPr>
        </xdr:nvSpPr>
        <xdr:spPr bwMode="auto">
          <a:xfrm>
            <a:off x="5019675" y="1143000"/>
            <a:ext cx="0" cy="1428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142">
            <a:extLst>
              <a:ext uri="{FF2B5EF4-FFF2-40B4-BE49-F238E27FC236}">
                <a16:creationId xmlns:a16="http://schemas.microsoft.com/office/drawing/2014/main" id="{7FE25473-6CF3-4184-B844-D047DF5EF6EA}"/>
              </a:ext>
            </a:extLst>
          </xdr:cNvPr>
          <xdr:cNvSpPr>
            <a:spLocks noChangeShapeType="1"/>
          </xdr:cNvSpPr>
        </xdr:nvSpPr>
        <xdr:spPr bwMode="auto">
          <a:xfrm>
            <a:off x="5505450" y="1143000"/>
            <a:ext cx="0" cy="1428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143">
            <a:extLst>
              <a:ext uri="{FF2B5EF4-FFF2-40B4-BE49-F238E27FC236}">
                <a16:creationId xmlns:a16="http://schemas.microsoft.com/office/drawing/2014/main" id="{063DDD53-3980-49CC-A0E7-E0730A79979F}"/>
              </a:ext>
            </a:extLst>
          </xdr:cNvPr>
          <xdr:cNvSpPr>
            <a:spLocks noChangeShapeType="1"/>
          </xdr:cNvSpPr>
        </xdr:nvSpPr>
        <xdr:spPr bwMode="auto">
          <a:xfrm>
            <a:off x="5343525" y="1143000"/>
            <a:ext cx="0" cy="1428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144">
            <a:extLst>
              <a:ext uri="{FF2B5EF4-FFF2-40B4-BE49-F238E27FC236}">
                <a16:creationId xmlns:a16="http://schemas.microsoft.com/office/drawing/2014/main" id="{DECF1832-0F1D-4583-A496-46AC63A23DA7}"/>
              </a:ext>
            </a:extLst>
          </xdr:cNvPr>
          <xdr:cNvSpPr>
            <a:spLocks noChangeShapeType="1"/>
          </xdr:cNvSpPr>
        </xdr:nvSpPr>
        <xdr:spPr bwMode="auto">
          <a:xfrm>
            <a:off x="5181600" y="1143000"/>
            <a:ext cx="0" cy="14287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2DC4A918-AF5C-447A-A1E7-87F7B19E751C}"/>
              </a:ext>
            </a:extLst>
          </xdr:cNvPr>
          <xdr:cNvCxnSpPr/>
        </xdr:nvCxnSpPr>
        <xdr:spPr>
          <a:xfrm>
            <a:off x="4852988" y="1447800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9CD2B0B6-C22B-4DE2-AF23-1D79EF848B65}"/>
              </a:ext>
            </a:extLst>
          </xdr:cNvPr>
          <xdr:cNvCxnSpPr/>
        </xdr:nvCxnSpPr>
        <xdr:spPr>
          <a:xfrm>
            <a:off x="4795838" y="1714500"/>
            <a:ext cx="762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D8F183A3-2A9D-4E32-B02B-5EF2B321C785}"/>
              </a:ext>
            </a:extLst>
          </xdr:cNvPr>
          <xdr:cNvCxnSpPr/>
        </xdr:nvCxnSpPr>
        <xdr:spPr>
          <a:xfrm flipH="1">
            <a:off x="4814889" y="1681162"/>
            <a:ext cx="71437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4BD26CF1-5E66-4954-8DE3-620A582D26F3}"/>
              </a:ext>
            </a:extLst>
          </xdr:cNvPr>
          <xdr:cNvCxnSpPr/>
        </xdr:nvCxnSpPr>
        <xdr:spPr>
          <a:xfrm>
            <a:off x="5500688" y="1447799"/>
            <a:ext cx="0" cy="3143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8A2DE805-1368-4C57-B915-0D6395B0AEC9}"/>
              </a:ext>
            </a:extLst>
          </xdr:cNvPr>
          <xdr:cNvCxnSpPr/>
        </xdr:nvCxnSpPr>
        <xdr:spPr>
          <a:xfrm flipH="1">
            <a:off x="5462589" y="1681161"/>
            <a:ext cx="71437" cy="714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109536</xdr:colOff>
      <xdr:row>20</xdr:row>
      <xdr:rowOff>0</xdr:rowOff>
    </xdr:from>
    <xdr:to>
      <xdr:col>19</xdr:col>
      <xdr:colOff>57148</xdr:colOff>
      <xdr:row>23</xdr:row>
      <xdr:rowOff>61915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69610D50-A498-4C5D-8C64-00EB9B4178CD}"/>
            </a:ext>
          </a:extLst>
        </xdr:cNvPr>
        <xdr:cNvGrpSpPr/>
      </xdr:nvGrpSpPr>
      <xdr:grpSpPr>
        <a:xfrm>
          <a:off x="2052636" y="3314700"/>
          <a:ext cx="1081087" cy="490540"/>
          <a:chOff x="2052636" y="3314700"/>
          <a:chExt cx="1081087" cy="490540"/>
        </a:xfrm>
      </xdr:grpSpPr>
      <xdr:sp macro="" textlink="">
        <xdr:nvSpPr>
          <xdr:cNvPr id="20" name="AutoShape 130">
            <a:extLst>
              <a:ext uri="{FF2B5EF4-FFF2-40B4-BE49-F238E27FC236}">
                <a16:creationId xmlns:a16="http://schemas.microsoft.com/office/drawing/2014/main" id="{9B62B842-CB9F-435C-816A-17C343D851CE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3314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1" name="AutoShape 131">
            <a:extLst>
              <a:ext uri="{FF2B5EF4-FFF2-40B4-BE49-F238E27FC236}">
                <a16:creationId xmlns:a16="http://schemas.microsoft.com/office/drawing/2014/main" id="{D747D189-F93C-4A77-8CC6-DAC7B1FA44A7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3314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2" name="AutoShape 132">
            <a:extLst>
              <a:ext uri="{FF2B5EF4-FFF2-40B4-BE49-F238E27FC236}">
                <a16:creationId xmlns:a16="http://schemas.microsoft.com/office/drawing/2014/main" id="{2CB05808-EB9C-42EE-A890-A0A771FF5E20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3314700"/>
            <a:ext cx="85725" cy="114300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64" name="Line 4">
            <a:extLst>
              <a:ext uri="{FF2B5EF4-FFF2-40B4-BE49-F238E27FC236}">
                <a16:creationId xmlns:a16="http://schemas.microsoft.com/office/drawing/2014/main" id="{D9621DB9-D606-4C22-AFE6-5913F0359720}"/>
              </a:ext>
            </a:extLst>
          </xdr:cNvPr>
          <xdr:cNvSpPr>
            <a:spLocks noChangeShapeType="1"/>
          </xdr:cNvSpPr>
        </xdr:nvSpPr>
        <xdr:spPr bwMode="auto">
          <a:xfrm>
            <a:off x="2105023" y="36195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65" name="Line 5">
            <a:extLst>
              <a:ext uri="{FF2B5EF4-FFF2-40B4-BE49-F238E27FC236}">
                <a16:creationId xmlns:a16="http://schemas.microsoft.com/office/drawing/2014/main" id="{ADFB5E69-8E87-42E5-9235-3DAD177FFD0A}"/>
              </a:ext>
            </a:extLst>
          </xdr:cNvPr>
          <xdr:cNvSpPr>
            <a:spLocks noChangeShapeType="1"/>
          </xdr:cNvSpPr>
        </xdr:nvSpPr>
        <xdr:spPr bwMode="auto">
          <a:xfrm>
            <a:off x="2052636" y="3743327"/>
            <a:ext cx="1081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66" name="Line 6">
            <a:extLst>
              <a:ext uri="{FF2B5EF4-FFF2-40B4-BE49-F238E27FC236}">
                <a16:creationId xmlns:a16="http://schemas.microsoft.com/office/drawing/2014/main" id="{A167A279-4FEB-418F-891E-3FC0B5C13912}"/>
              </a:ext>
            </a:extLst>
          </xdr:cNvPr>
          <xdr:cNvSpPr>
            <a:spLocks noChangeShapeType="1"/>
          </xdr:cNvSpPr>
        </xdr:nvSpPr>
        <xdr:spPr bwMode="auto">
          <a:xfrm>
            <a:off x="3076573" y="36290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67" name="Line 7">
            <a:extLst>
              <a:ext uri="{FF2B5EF4-FFF2-40B4-BE49-F238E27FC236}">
                <a16:creationId xmlns:a16="http://schemas.microsoft.com/office/drawing/2014/main" id="{6977BEBE-4BD8-4681-92B7-0C8F8BA296E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2160" y="37099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68" name="Line 8">
            <a:extLst>
              <a:ext uri="{FF2B5EF4-FFF2-40B4-BE49-F238E27FC236}">
                <a16:creationId xmlns:a16="http://schemas.microsoft.com/office/drawing/2014/main" id="{4798EE88-1E62-435A-9110-4A8B41375BA6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4" y="37052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69" name="Line 9">
            <a:extLst>
              <a:ext uri="{FF2B5EF4-FFF2-40B4-BE49-F238E27FC236}">
                <a16:creationId xmlns:a16="http://schemas.microsoft.com/office/drawing/2014/main" id="{6E5DF7B8-55D3-4ABD-AC3E-706728A8F722}"/>
              </a:ext>
            </a:extLst>
          </xdr:cNvPr>
          <xdr:cNvSpPr>
            <a:spLocks noChangeShapeType="1"/>
          </xdr:cNvSpPr>
        </xdr:nvSpPr>
        <xdr:spPr bwMode="auto">
          <a:xfrm>
            <a:off x="2590798" y="36290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0" name="Line 10">
            <a:extLst>
              <a:ext uri="{FF2B5EF4-FFF2-40B4-BE49-F238E27FC236}">
                <a16:creationId xmlns:a16="http://schemas.microsoft.com/office/drawing/2014/main" id="{C8EF7F0A-CC85-417D-99DE-E02F420E5038}"/>
              </a:ext>
            </a:extLst>
          </xdr:cNvPr>
          <xdr:cNvSpPr>
            <a:spLocks noChangeShapeType="1"/>
          </xdr:cNvSpPr>
        </xdr:nvSpPr>
        <xdr:spPr bwMode="auto">
          <a:xfrm flipH="1">
            <a:off x="2562224" y="37099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12</xdr:col>
      <xdr:colOff>109541</xdr:colOff>
      <xdr:row>28</xdr:row>
      <xdr:rowOff>0</xdr:rowOff>
    </xdr:from>
    <xdr:to>
      <xdr:col>19</xdr:col>
      <xdr:colOff>57153</xdr:colOff>
      <xdr:row>31</xdr:row>
      <xdr:rowOff>61915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FBD2DE91-C557-47B6-B243-BBC7DD42F218}"/>
            </a:ext>
          </a:extLst>
        </xdr:cNvPr>
        <xdr:cNvGrpSpPr/>
      </xdr:nvGrpSpPr>
      <xdr:grpSpPr>
        <a:xfrm>
          <a:off x="2052641" y="4467225"/>
          <a:ext cx="1081087" cy="490540"/>
          <a:chOff x="2052641" y="4467225"/>
          <a:chExt cx="1081087" cy="490540"/>
        </a:xfrm>
      </xdr:grpSpPr>
      <xdr:sp macro="" textlink="">
        <xdr:nvSpPr>
          <xdr:cNvPr id="35" name="AutoShape 145">
            <a:extLst>
              <a:ext uri="{FF2B5EF4-FFF2-40B4-BE49-F238E27FC236}">
                <a16:creationId xmlns:a16="http://schemas.microsoft.com/office/drawing/2014/main" id="{4385AE14-5ED5-42FF-B3F0-2AC463985FAA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4467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6" name="AutoShape 146">
            <a:extLst>
              <a:ext uri="{FF2B5EF4-FFF2-40B4-BE49-F238E27FC236}">
                <a16:creationId xmlns:a16="http://schemas.microsoft.com/office/drawing/2014/main" id="{02188B60-7D8B-4C48-9058-BF4107A40BAA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4467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" name="AutoShape 147">
            <a:extLst>
              <a:ext uri="{FF2B5EF4-FFF2-40B4-BE49-F238E27FC236}">
                <a16:creationId xmlns:a16="http://schemas.microsoft.com/office/drawing/2014/main" id="{1D9901D8-0F87-4D65-BCCE-47052566DC1D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4467225"/>
            <a:ext cx="85725" cy="114300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1" name="Line 4">
            <a:extLst>
              <a:ext uri="{FF2B5EF4-FFF2-40B4-BE49-F238E27FC236}">
                <a16:creationId xmlns:a16="http://schemas.microsoft.com/office/drawing/2014/main" id="{734D794B-8AF4-40EA-8803-380804BCEFA5}"/>
              </a:ext>
            </a:extLst>
          </xdr:cNvPr>
          <xdr:cNvSpPr>
            <a:spLocks noChangeShapeType="1"/>
          </xdr:cNvSpPr>
        </xdr:nvSpPr>
        <xdr:spPr bwMode="auto">
          <a:xfrm>
            <a:off x="2105028" y="4772027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2" name="Line 5">
            <a:extLst>
              <a:ext uri="{FF2B5EF4-FFF2-40B4-BE49-F238E27FC236}">
                <a16:creationId xmlns:a16="http://schemas.microsoft.com/office/drawing/2014/main" id="{E96DE29A-9A82-4217-965C-DE5BE2532E71}"/>
              </a:ext>
            </a:extLst>
          </xdr:cNvPr>
          <xdr:cNvSpPr>
            <a:spLocks noChangeShapeType="1"/>
          </xdr:cNvSpPr>
        </xdr:nvSpPr>
        <xdr:spPr bwMode="auto">
          <a:xfrm>
            <a:off x="2052641" y="4895852"/>
            <a:ext cx="10810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3" name="Line 6">
            <a:extLst>
              <a:ext uri="{FF2B5EF4-FFF2-40B4-BE49-F238E27FC236}">
                <a16:creationId xmlns:a16="http://schemas.microsoft.com/office/drawing/2014/main" id="{3C1C0711-375F-4DCF-AA8B-28AD1B751005}"/>
              </a:ext>
            </a:extLst>
          </xdr:cNvPr>
          <xdr:cNvSpPr>
            <a:spLocks noChangeShapeType="1"/>
          </xdr:cNvSpPr>
        </xdr:nvSpPr>
        <xdr:spPr bwMode="auto">
          <a:xfrm>
            <a:off x="3076578" y="478155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4" name="Line 7">
            <a:extLst>
              <a:ext uri="{FF2B5EF4-FFF2-40B4-BE49-F238E27FC236}">
                <a16:creationId xmlns:a16="http://schemas.microsoft.com/office/drawing/2014/main" id="{5D79C6B1-D1B7-4DFF-8F12-91B284C9AECC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2165" y="4862515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5" name="Line 8">
            <a:extLst>
              <a:ext uri="{FF2B5EF4-FFF2-40B4-BE49-F238E27FC236}">
                <a16:creationId xmlns:a16="http://schemas.microsoft.com/office/drawing/2014/main" id="{E8DA1EED-F402-4C49-931A-2132FB14BE5C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9" y="485775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6" name="Line 9">
            <a:extLst>
              <a:ext uri="{FF2B5EF4-FFF2-40B4-BE49-F238E27FC236}">
                <a16:creationId xmlns:a16="http://schemas.microsoft.com/office/drawing/2014/main" id="{6ED349ED-9ED8-44AC-A025-E6BFAD95A4EB}"/>
              </a:ext>
            </a:extLst>
          </xdr:cNvPr>
          <xdr:cNvSpPr>
            <a:spLocks noChangeShapeType="1"/>
          </xdr:cNvSpPr>
        </xdr:nvSpPr>
        <xdr:spPr bwMode="auto">
          <a:xfrm>
            <a:off x="2590803" y="4781553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7" name="Line 10">
            <a:extLst>
              <a:ext uri="{FF2B5EF4-FFF2-40B4-BE49-F238E27FC236}">
                <a16:creationId xmlns:a16="http://schemas.microsoft.com/office/drawing/2014/main" id="{10BAF0D6-4A3B-4B96-B9B5-196473704F5E}"/>
              </a:ext>
            </a:extLst>
          </xdr:cNvPr>
          <xdr:cNvSpPr>
            <a:spLocks noChangeShapeType="1"/>
          </xdr:cNvSpPr>
        </xdr:nvSpPr>
        <xdr:spPr bwMode="auto">
          <a:xfrm flipH="1">
            <a:off x="2562229" y="48625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9</xdr:col>
      <xdr:colOff>109541</xdr:colOff>
      <xdr:row>35</xdr:row>
      <xdr:rowOff>0</xdr:rowOff>
    </xdr:from>
    <xdr:to>
      <xdr:col>19</xdr:col>
      <xdr:colOff>57150</xdr:colOff>
      <xdr:row>38</xdr:row>
      <xdr:rowOff>61915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54E5D2FC-E852-4C81-AA25-BC4EC80A94F6}"/>
            </a:ext>
          </a:extLst>
        </xdr:cNvPr>
        <xdr:cNvGrpSpPr/>
      </xdr:nvGrpSpPr>
      <xdr:grpSpPr>
        <a:xfrm>
          <a:off x="1566866" y="5476875"/>
          <a:ext cx="1566859" cy="490540"/>
          <a:chOff x="1566866" y="5476875"/>
          <a:chExt cx="1566859" cy="490540"/>
        </a:xfrm>
      </xdr:grpSpPr>
      <xdr:sp macro="" textlink="">
        <xdr:nvSpPr>
          <xdr:cNvPr id="45" name="AutoShape 155">
            <a:extLst>
              <a:ext uri="{FF2B5EF4-FFF2-40B4-BE49-F238E27FC236}">
                <a16:creationId xmlns:a16="http://schemas.microsoft.com/office/drawing/2014/main" id="{69A0B07A-457F-425E-965A-D94E8BA4BAB4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5476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6" name="AutoShape 156">
            <a:extLst>
              <a:ext uri="{FF2B5EF4-FFF2-40B4-BE49-F238E27FC236}">
                <a16:creationId xmlns:a16="http://schemas.microsoft.com/office/drawing/2014/main" id="{9F4B6BE0-3707-4E67-95F4-9A479FF89190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5476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7" name="AutoShape 157">
            <a:extLst>
              <a:ext uri="{FF2B5EF4-FFF2-40B4-BE49-F238E27FC236}">
                <a16:creationId xmlns:a16="http://schemas.microsoft.com/office/drawing/2014/main" id="{C6349ED9-4BBA-4CE6-B9AF-C0C8E2B3963D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54864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5" name="AutoShape 165">
            <a:extLst>
              <a:ext uri="{FF2B5EF4-FFF2-40B4-BE49-F238E27FC236}">
                <a16:creationId xmlns:a16="http://schemas.microsoft.com/office/drawing/2014/main" id="{7F36594C-5549-43BF-88C6-61A153A56703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5476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78" name="Line 4">
            <a:extLst>
              <a:ext uri="{FF2B5EF4-FFF2-40B4-BE49-F238E27FC236}">
                <a16:creationId xmlns:a16="http://schemas.microsoft.com/office/drawing/2014/main" id="{EE005E13-B664-452F-B504-59D2CC2A872B}"/>
              </a:ext>
            </a:extLst>
          </xdr:cNvPr>
          <xdr:cNvSpPr>
            <a:spLocks noChangeShapeType="1"/>
          </xdr:cNvSpPr>
        </xdr:nvSpPr>
        <xdr:spPr bwMode="auto">
          <a:xfrm>
            <a:off x="1619253" y="5781677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79" name="Line 5">
            <a:extLst>
              <a:ext uri="{FF2B5EF4-FFF2-40B4-BE49-F238E27FC236}">
                <a16:creationId xmlns:a16="http://schemas.microsoft.com/office/drawing/2014/main" id="{F995A060-7867-4A41-BEF6-0EBBAC41843F}"/>
              </a:ext>
            </a:extLst>
          </xdr:cNvPr>
          <xdr:cNvSpPr>
            <a:spLocks noChangeShapeType="1"/>
          </xdr:cNvSpPr>
        </xdr:nvSpPr>
        <xdr:spPr bwMode="auto">
          <a:xfrm>
            <a:off x="1566866" y="5905502"/>
            <a:ext cx="1566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0" name="Line 6">
            <a:extLst>
              <a:ext uri="{FF2B5EF4-FFF2-40B4-BE49-F238E27FC236}">
                <a16:creationId xmlns:a16="http://schemas.microsoft.com/office/drawing/2014/main" id="{D79B96BC-9373-4475-A328-04A7F91CA8EB}"/>
              </a:ext>
            </a:extLst>
          </xdr:cNvPr>
          <xdr:cNvSpPr>
            <a:spLocks noChangeShapeType="1"/>
          </xdr:cNvSpPr>
        </xdr:nvSpPr>
        <xdr:spPr bwMode="auto">
          <a:xfrm>
            <a:off x="2590803" y="579120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1" name="Line 7">
            <a:extLst>
              <a:ext uri="{FF2B5EF4-FFF2-40B4-BE49-F238E27FC236}">
                <a16:creationId xmlns:a16="http://schemas.microsoft.com/office/drawing/2014/main" id="{BC56D571-2D18-4875-979E-4024275098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6390" y="5872165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2" name="Line 8">
            <a:extLst>
              <a:ext uri="{FF2B5EF4-FFF2-40B4-BE49-F238E27FC236}">
                <a16:creationId xmlns:a16="http://schemas.microsoft.com/office/drawing/2014/main" id="{05529F71-C89B-4F7E-B0E5-E9417A37BC44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4" y="586740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3" name="Line 9">
            <a:extLst>
              <a:ext uri="{FF2B5EF4-FFF2-40B4-BE49-F238E27FC236}">
                <a16:creationId xmlns:a16="http://schemas.microsoft.com/office/drawing/2014/main" id="{35A42EC1-65DC-4EE7-AB64-87970040F831}"/>
              </a:ext>
            </a:extLst>
          </xdr:cNvPr>
          <xdr:cNvSpPr>
            <a:spLocks noChangeShapeType="1"/>
          </xdr:cNvSpPr>
        </xdr:nvSpPr>
        <xdr:spPr bwMode="auto">
          <a:xfrm>
            <a:off x="2105028" y="5791203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4" name="Line 10">
            <a:extLst>
              <a:ext uri="{FF2B5EF4-FFF2-40B4-BE49-F238E27FC236}">
                <a16:creationId xmlns:a16="http://schemas.microsoft.com/office/drawing/2014/main" id="{792D22BF-7A1E-45D9-A1ED-3DCE98D700DE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6454" y="587216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5" name="Line 6">
            <a:extLst>
              <a:ext uri="{FF2B5EF4-FFF2-40B4-BE49-F238E27FC236}">
                <a16:creationId xmlns:a16="http://schemas.microsoft.com/office/drawing/2014/main" id="{73A8C433-5971-4D97-863B-BE1A3B70EC33}"/>
              </a:ext>
            </a:extLst>
          </xdr:cNvPr>
          <xdr:cNvSpPr>
            <a:spLocks noChangeShapeType="1"/>
          </xdr:cNvSpPr>
        </xdr:nvSpPr>
        <xdr:spPr bwMode="auto">
          <a:xfrm>
            <a:off x="3076575" y="5791203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6" name="Line 8">
            <a:extLst>
              <a:ext uri="{FF2B5EF4-FFF2-40B4-BE49-F238E27FC236}">
                <a16:creationId xmlns:a16="http://schemas.microsoft.com/office/drawing/2014/main" id="{C2557E3D-1FE1-4588-8E66-483E2ED53F1B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6" y="5867402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9</xdr:col>
      <xdr:colOff>109541</xdr:colOff>
      <xdr:row>46</xdr:row>
      <xdr:rowOff>0</xdr:rowOff>
    </xdr:from>
    <xdr:to>
      <xdr:col>19</xdr:col>
      <xdr:colOff>57150</xdr:colOff>
      <xdr:row>49</xdr:row>
      <xdr:rowOff>61915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2621AA12-C848-46B9-B0B7-C87B9E6E1983}"/>
            </a:ext>
          </a:extLst>
        </xdr:cNvPr>
        <xdr:cNvGrpSpPr/>
      </xdr:nvGrpSpPr>
      <xdr:grpSpPr>
        <a:xfrm>
          <a:off x="1566866" y="7058025"/>
          <a:ext cx="1566859" cy="490540"/>
          <a:chOff x="1566866" y="7058025"/>
          <a:chExt cx="1566859" cy="490540"/>
        </a:xfrm>
      </xdr:grpSpPr>
      <xdr:sp macro="" textlink="">
        <xdr:nvSpPr>
          <xdr:cNvPr id="58" name="AutoShape 168">
            <a:extLst>
              <a:ext uri="{FF2B5EF4-FFF2-40B4-BE49-F238E27FC236}">
                <a16:creationId xmlns:a16="http://schemas.microsoft.com/office/drawing/2014/main" id="{A01F0D64-343D-4055-B9C0-60ACA9DC15A5}"/>
              </a:ext>
            </a:extLst>
          </xdr:cNvPr>
          <xdr:cNvSpPr>
            <a:spLocks noChangeArrowheads="1"/>
          </xdr:cNvSpPr>
        </xdr:nvSpPr>
        <xdr:spPr bwMode="auto">
          <a:xfrm>
            <a:off x="2062161" y="70580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9" name="AutoShape 169">
            <a:extLst>
              <a:ext uri="{FF2B5EF4-FFF2-40B4-BE49-F238E27FC236}">
                <a16:creationId xmlns:a16="http://schemas.microsoft.com/office/drawing/2014/main" id="{20A075AA-BE0E-4CB5-A65A-E4E3FB087A46}"/>
              </a:ext>
            </a:extLst>
          </xdr:cNvPr>
          <xdr:cNvSpPr>
            <a:spLocks noChangeArrowheads="1"/>
          </xdr:cNvSpPr>
        </xdr:nvSpPr>
        <xdr:spPr bwMode="auto">
          <a:xfrm>
            <a:off x="2547936" y="70580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0" name="AutoShape 170">
            <a:extLst>
              <a:ext uri="{FF2B5EF4-FFF2-40B4-BE49-F238E27FC236}">
                <a16:creationId xmlns:a16="http://schemas.microsoft.com/office/drawing/2014/main" id="{FE880565-59B8-42A4-B2C4-AE51AABC5BDD}"/>
              </a:ext>
            </a:extLst>
          </xdr:cNvPr>
          <xdr:cNvSpPr>
            <a:spLocks noChangeArrowheads="1"/>
          </xdr:cNvSpPr>
        </xdr:nvSpPr>
        <xdr:spPr bwMode="auto">
          <a:xfrm>
            <a:off x="3033711" y="70675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8" name="AutoShape 178">
            <a:extLst>
              <a:ext uri="{FF2B5EF4-FFF2-40B4-BE49-F238E27FC236}">
                <a16:creationId xmlns:a16="http://schemas.microsoft.com/office/drawing/2014/main" id="{EF79C441-5C1F-4212-8E5D-00ADD492F297}"/>
              </a:ext>
            </a:extLst>
          </xdr:cNvPr>
          <xdr:cNvSpPr>
            <a:spLocks noChangeArrowheads="1"/>
          </xdr:cNvSpPr>
        </xdr:nvSpPr>
        <xdr:spPr bwMode="auto">
          <a:xfrm>
            <a:off x="1576386" y="70580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87" name="Line 4">
            <a:extLst>
              <a:ext uri="{FF2B5EF4-FFF2-40B4-BE49-F238E27FC236}">
                <a16:creationId xmlns:a16="http://schemas.microsoft.com/office/drawing/2014/main" id="{B6C0EBF5-E647-4F0F-AFDF-54FBCD2E57D3}"/>
              </a:ext>
            </a:extLst>
          </xdr:cNvPr>
          <xdr:cNvSpPr>
            <a:spLocks noChangeShapeType="1"/>
          </xdr:cNvSpPr>
        </xdr:nvSpPr>
        <xdr:spPr bwMode="auto">
          <a:xfrm>
            <a:off x="1619253" y="7362827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8" name="Line 5">
            <a:extLst>
              <a:ext uri="{FF2B5EF4-FFF2-40B4-BE49-F238E27FC236}">
                <a16:creationId xmlns:a16="http://schemas.microsoft.com/office/drawing/2014/main" id="{B7404C90-4E12-4C9D-BB85-AB355380E674}"/>
              </a:ext>
            </a:extLst>
          </xdr:cNvPr>
          <xdr:cNvSpPr>
            <a:spLocks noChangeShapeType="1"/>
          </xdr:cNvSpPr>
        </xdr:nvSpPr>
        <xdr:spPr bwMode="auto">
          <a:xfrm>
            <a:off x="1566866" y="7486652"/>
            <a:ext cx="1566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89" name="Line 6">
            <a:extLst>
              <a:ext uri="{FF2B5EF4-FFF2-40B4-BE49-F238E27FC236}">
                <a16:creationId xmlns:a16="http://schemas.microsoft.com/office/drawing/2014/main" id="{08AC73D0-CF9D-4D11-9533-33F12DE5AA66}"/>
              </a:ext>
            </a:extLst>
          </xdr:cNvPr>
          <xdr:cNvSpPr>
            <a:spLocks noChangeShapeType="1"/>
          </xdr:cNvSpPr>
        </xdr:nvSpPr>
        <xdr:spPr bwMode="auto">
          <a:xfrm>
            <a:off x="2590803" y="737235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0" name="Line 7">
            <a:extLst>
              <a:ext uri="{FF2B5EF4-FFF2-40B4-BE49-F238E27FC236}">
                <a16:creationId xmlns:a16="http://schemas.microsoft.com/office/drawing/2014/main" id="{258B9B2B-3220-4E23-93DF-AB60D3467C2E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6390" y="7453315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1" name="Line 8">
            <a:extLst>
              <a:ext uri="{FF2B5EF4-FFF2-40B4-BE49-F238E27FC236}">
                <a16:creationId xmlns:a16="http://schemas.microsoft.com/office/drawing/2014/main" id="{023346FB-4906-4A71-A1DA-72B7B4D87FD6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4" y="744855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2" name="Line 9">
            <a:extLst>
              <a:ext uri="{FF2B5EF4-FFF2-40B4-BE49-F238E27FC236}">
                <a16:creationId xmlns:a16="http://schemas.microsoft.com/office/drawing/2014/main" id="{11CCDCE7-4022-46F4-A946-FE7302CBD4C1}"/>
              </a:ext>
            </a:extLst>
          </xdr:cNvPr>
          <xdr:cNvSpPr>
            <a:spLocks noChangeShapeType="1"/>
          </xdr:cNvSpPr>
        </xdr:nvSpPr>
        <xdr:spPr bwMode="auto">
          <a:xfrm>
            <a:off x="2105028" y="7372353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3" name="Line 10">
            <a:extLst>
              <a:ext uri="{FF2B5EF4-FFF2-40B4-BE49-F238E27FC236}">
                <a16:creationId xmlns:a16="http://schemas.microsoft.com/office/drawing/2014/main" id="{4AB7D2AF-241B-4709-B0E5-3109A9ACE1D4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6454" y="74533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4" name="Line 6">
            <a:extLst>
              <a:ext uri="{FF2B5EF4-FFF2-40B4-BE49-F238E27FC236}">
                <a16:creationId xmlns:a16="http://schemas.microsoft.com/office/drawing/2014/main" id="{00CDCA57-CC95-427E-9B0C-D010980017BA}"/>
              </a:ext>
            </a:extLst>
          </xdr:cNvPr>
          <xdr:cNvSpPr>
            <a:spLocks noChangeShapeType="1"/>
          </xdr:cNvSpPr>
        </xdr:nvSpPr>
        <xdr:spPr bwMode="auto">
          <a:xfrm>
            <a:off x="3076575" y="7372353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5" name="Line 8">
            <a:extLst>
              <a:ext uri="{FF2B5EF4-FFF2-40B4-BE49-F238E27FC236}">
                <a16:creationId xmlns:a16="http://schemas.microsoft.com/office/drawing/2014/main" id="{C78170E3-782D-4B16-A98C-D1FB20045292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6" y="7448552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9</xdr:col>
      <xdr:colOff>109541</xdr:colOff>
      <xdr:row>55</xdr:row>
      <xdr:rowOff>0</xdr:rowOff>
    </xdr:from>
    <xdr:to>
      <xdr:col>19</xdr:col>
      <xdr:colOff>57150</xdr:colOff>
      <xdr:row>58</xdr:row>
      <xdr:rowOff>61915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71C26C93-7F7C-4814-9362-60EC2834EE38}"/>
            </a:ext>
          </a:extLst>
        </xdr:cNvPr>
        <xdr:cNvGrpSpPr/>
      </xdr:nvGrpSpPr>
      <xdr:grpSpPr>
        <a:xfrm>
          <a:off x="1566866" y="8353425"/>
          <a:ext cx="1566859" cy="490540"/>
          <a:chOff x="1566866" y="8353425"/>
          <a:chExt cx="1566859" cy="490540"/>
        </a:xfrm>
      </xdr:grpSpPr>
      <xdr:sp macro="" textlink="">
        <xdr:nvSpPr>
          <xdr:cNvPr id="71" name="AutoShape 181">
            <a:extLst>
              <a:ext uri="{FF2B5EF4-FFF2-40B4-BE49-F238E27FC236}">
                <a16:creationId xmlns:a16="http://schemas.microsoft.com/office/drawing/2014/main" id="{A16C18F5-53F8-42DB-A763-D6404064AF7D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83534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2" name="AutoShape 182">
            <a:extLst>
              <a:ext uri="{FF2B5EF4-FFF2-40B4-BE49-F238E27FC236}">
                <a16:creationId xmlns:a16="http://schemas.microsoft.com/office/drawing/2014/main" id="{AE6A400F-44D6-4795-A81F-13F6CC857C4D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83534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3" name="AutoShape 183">
            <a:extLst>
              <a:ext uri="{FF2B5EF4-FFF2-40B4-BE49-F238E27FC236}">
                <a16:creationId xmlns:a16="http://schemas.microsoft.com/office/drawing/2014/main" id="{F11C5471-5980-4596-AA20-8DE4A2B7F5ED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83629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1" name="AutoShape 191">
            <a:extLst>
              <a:ext uri="{FF2B5EF4-FFF2-40B4-BE49-F238E27FC236}">
                <a16:creationId xmlns:a16="http://schemas.microsoft.com/office/drawing/2014/main" id="{7C17C383-DBC7-4C73-A2AD-CF132F265FF6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83534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96" name="Line 4">
            <a:extLst>
              <a:ext uri="{FF2B5EF4-FFF2-40B4-BE49-F238E27FC236}">
                <a16:creationId xmlns:a16="http://schemas.microsoft.com/office/drawing/2014/main" id="{AA02989A-AE53-4A74-B3D8-A9E9596B024F}"/>
              </a:ext>
            </a:extLst>
          </xdr:cNvPr>
          <xdr:cNvSpPr>
            <a:spLocks noChangeShapeType="1"/>
          </xdr:cNvSpPr>
        </xdr:nvSpPr>
        <xdr:spPr bwMode="auto">
          <a:xfrm>
            <a:off x="1619253" y="8658227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7" name="Line 5">
            <a:extLst>
              <a:ext uri="{FF2B5EF4-FFF2-40B4-BE49-F238E27FC236}">
                <a16:creationId xmlns:a16="http://schemas.microsoft.com/office/drawing/2014/main" id="{1DBD73FD-A1BD-4AAB-AB32-3964B1CDDDDE}"/>
              </a:ext>
            </a:extLst>
          </xdr:cNvPr>
          <xdr:cNvSpPr>
            <a:spLocks noChangeShapeType="1"/>
          </xdr:cNvSpPr>
        </xdr:nvSpPr>
        <xdr:spPr bwMode="auto">
          <a:xfrm>
            <a:off x="1566866" y="8782052"/>
            <a:ext cx="1566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8" name="Line 6">
            <a:extLst>
              <a:ext uri="{FF2B5EF4-FFF2-40B4-BE49-F238E27FC236}">
                <a16:creationId xmlns:a16="http://schemas.microsoft.com/office/drawing/2014/main" id="{344E34E6-A8EF-475F-A906-CF8076407908}"/>
              </a:ext>
            </a:extLst>
          </xdr:cNvPr>
          <xdr:cNvSpPr>
            <a:spLocks noChangeShapeType="1"/>
          </xdr:cNvSpPr>
        </xdr:nvSpPr>
        <xdr:spPr bwMode="auto">
          <a:xfrm>
            <a:off x="2590803" y="866775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399" name="Line 7">
            <a:extLst>
              <a:ext uri="{FF2B5EF4-FFF2-40B4-BE49-F238E27FC236}">
                <a16:creationId xmlns:a16="http://schemas.microsoft.com/office/drawing/2014/main" id="{5E525394-7B43-4B36-A301-27B94ACB97F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6390" y="8748715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0" name="Line 8">
            <a:extLst>
              <a:ext uri="{FF2B5EF4-FFF2-40B4-BE49-F238E27FC236}">
                <a16:creationId xmlns:a16="http://schemas.microsoft.com/office/drawing/2014/main" id="{524D16F3-F9F6-4456-B609-96051F30CA05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4" y="874395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1" name="Line 9">
            <a:extLst>
              <a:ext uri="{FF2B5EF4-FFF2-40B4-BE49-F238E27FC236}">
                <a16:creationId xmlns:a16="http://schemas.microsoft.com/office/drawing/2014/main" id="{2FD5B742-0337-4448-B1A0-81878D64041E}"/>
              </a:ext>
            </a:extLst>
          </xdr:cNvPr>
          <xdr:cNvSpPr>
            <a:spLocks noChangeShapeType="1"/>
          </xdr:cNvSpPr>
        </xdr:nvSpPr>
        <xdr:spPr bwMode="auto">
          <a:xfrm>
            <a:off x="2105028" y="8667753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2" name="Line 10">
            <a:extLst>
              <a:ext uri="{FF2B5EF4-FFF2-40B4-BE49-F238E27FC236}">
                <a16:creationId xmlns:a16="http://schemas.microsoft.com/office/drawing/2014/main" id="{5E4D37E9-8063-412D-9FCD-F5C2DEA90CBE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6454" y="87487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3" name="Line 6">
            <a:extLst>
              <a:ext uri="{FF2B5EF4-FFF2-40B4-BE49-F238E27FC236}">
                <a16:creationId xmlns:a16="http://schemas.microsoft.com/office/drawing/2014/main" id="{3D4B6B8D-6743-47DE-A6F5-4D816AD07AA2}"/>
              </a:ext>
            </a:extLst>
          </xdr:cNvPr>
          <xdr:cNvSpPr>
            <a:spLocks noChangeShapeType="1"/>
          </xdr:cNvSpPr>
        </xdr:nvSpPr>
        <xdr:spPr bwMode="auto">
          <a:xfrm>
            <a:off x="3076575" y="8667753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4" name="Line 8">
            <a:extLst>
              <a:ext uri="{FF2B5EF4-FFF2-40B4-BE49-F238E27FC236}">
                <a16:creationId xmlns:a16="http://schemas.microsoft.com/office/drawing/2014/main" id="{51BC269F-F99A-4D03-B165-2723E44F413D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6" y="8743952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9</xdr:col>
      <xdr:colOff>109544</xdr:colOff>
      <xdr:row>64</xdr:row>
      <xdr:rowOff>0</xdr:rowOff>
    </xdr:from>
    <xdr:to>
      <xdr:col>19</xdr:col>
      <xdr:colOff>57153</xdr:colOff>
      <xdr:row>67</xdr:row>
      <xdr:rowOff>61915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0EBEC6CB-4C01-45EE-ABE6-754F32F72966}"/>
            </a:ext>
          </a:extLst>
        </xdr:cNvPr>
        <xdr:cNvGrpSpPr/>
      </xdr:nvGrpSpPr>
      <xdr:grpSpPr>
        <a:xfrm>
          <a:off x="1566869" y="9648825"/>
          <a:ext cx="1566859" cy="490540"/>
          <a:chOff x="1566869" y="9648825"/>
          <a:chExt cx="1566859" cy="490540"/>
        </a:xfrm>
      </xdr:grpSpPr>
      <xdr:sp macro="" textlink="">
        <xdr:nvSpPr>
          <xdr:cNvPr id="84" name="AutoShape 194">
            <a:extLst>
              <a:ext uri="{FF2B5EF4-FFF2-40B4-BE49-F238E27FC236}">
                <a16:creationId xmlns:a16="http://schemas.microsoft.com/office/drawing/2014/main" id="{71C84EF3-7536-4507-B2EE-109B91DD714E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96488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5" name="AutoShape 195">
            <a:extLst>
              <a:ext uri="{FF2B5EF4-FFF2-40B4-BE49-F238E27FC236}">
                <a16:creationId xmlns:a16="http://schemas.microsoft.com/office/drawing/2014/main" id="{6CE30D72-C55A-4D91-B433-13312154C234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96488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6" name="AutoShape 196">
            <a:extLst>
              <a:ext uri="{FF2B5EF4-FFF2-40B4-BE49-F238E27FC236}">
                <a16:creationId xmlns:a16="http://schemas.microsoft.com/office/drawing/2014/main" id="{356B76D3-27C1-4972-AA50-3E4313C69C63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96583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4" name="AutoShape 204">
            <a:extLst>
              <a:ext uri="{FF2B5EF4-FFF2-40B4-BE49-F238E27FC236}">
                <a16:creationId xmlns:a16="http://schemas.microsoft.com/office/drawing/2014/main" id="{945EF7C2-1568-4F85-9659-DFAD71411B8A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96488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05" name="Line 4">
            <a:extLst>
              <a:ext uri="{FF2B5EF4-FFF2-40B4-BE49-F238E27FC236}">
                <a16:creationId xmlns:a16="http://schemas.microsoft.com/office/drawing/2014/main" id="{A33501E1-12E6-4C08-A6A8-4B2B50CA57C3}"/>
              </a:ext>
            </a:extLst>
          </xdr:cNvPr>
          <xdr:cNvSpPr>
            <a:spLocks noChangeShapeType="1"/>
          </xdr:cNvSpPr>
        </xdr:nvSpPr>
        <xdr:spPr bwMode="auto">
          <a:xfrm>
            <a:off x="1619256" y="9953627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6" name="Line 5">
            <a:extLst>
              <a:ext uri="{FF2B5EF4-FFF2-40B4-BE49-F238E27FC236}">
                <a16:creationId xmlns:a16="http://schemas.microsoft.com/office/drawing/2014/main" id="{570E798A-EE2A-4056-9463-276FEF87A7AC}"/>
              </a:ext>
            </a:extLst>
          </xdr:cNvPr>
          <xdr:cNvSpPr>
            <a:spLocks noChangeShapeType="1"/>
          </xdr:cNvSpPr>
        </xdr:nvSpPr>
        <xdr:spPr bwMode="auto">
          <a:xfrm>
            <a:off x="1566869" y="10077452"/>
            <a:ext cx="1566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7" name="Line 6">
            <a:extLst>
              <a:ext uri="{FF2B5EF4-FFF2-40B4-BE49-F238E27FC236}">
                <a16:creationId xmlns:a16="http://schemas.microsoft.com/office/drawing/2014/main" id="{71AA51D2-895E-42F6-BF77-5F89192D7D13}"/>
              </a:ext>
            </a:extLst>
          </xdr:cNvPr>
          <xdr:cNvSpPr>
            <a:spLocks noChangeShapeType="1"/>
          </xdr:cNvSpPr>
        </xdr:nvSpPr>
        <xdr:spPr bwMode="auto">
          <a:xfrm>
            <a:off x="2590806" y="996315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8" name="Line 7">
            <a:extLst>
              <a:ext uri="{FF2B5EF4-FFF2-40B4-BE49-F238E27FC236}">
                <a16:creationId xmlns:a16="http://schemas.microsoft.com/office/drawing/2014/main" id="{89759B7F-F246-4650-AE4A-6723BF12C08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6393" y="10044115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09" name="Line 8">
            <a:extLst>
              <a:ext uri="{FF2B5EF4-FFF2-40B4-BE49-F238E27FC236}">
                <a16:creationId xmlns:a16="http://schemas.microsoft.com/office/drawing/2014/main" id="{C80FF8DE-3C77-4E74-99F0-821672EC9232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7" y="1003935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0" name="Line 9">
            <a:extLst>
              <a:ext uri="{FF2B5EF4-FFF2-40B4-BE49-F238E27FC236}">
                <a16:creationId xmlns:a16="http://schemas.microsoft.com/office/drawing/2014/main" id="{8143D7C2-2B3E-44A0-A29F-A47222F608BD}"/>
              </a:ext>
            </a:extLst>
          </xdr:cNvPr>
          <xdr:cNvSpPr>
            <a:spLocks noChangeShapeType="1"/>
          </xdr:cNvSpPr>
        </xdr:nvSpPr>
        <xdr:spPr bwMode="auto">
          <a:xfrm>
            <a:off x="2105031" y="9963153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1" name="Line 10">
            <a:extLst>
              <a:ext uri="{FF2B5EF4-FFF2-40B4-BE49-F238E27FC236}">
                <a16:creationId xmlns:a16="http://schemas.microsoft.com/office/drawing/2014/main" id="{75E5BA60-D8ED-4ED3-899C-8F10EA25E28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6457" y="100441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2" name="Line 6">
            <a:extLst>
              <a:ext uri="{FF2B5EF4-FFF2-40B4-BE49-F238E27FC236}">
                <a16:creationId xmlns:a16="http://schemas.microsoft.com/office/drawing/2014/main" id="{A84953E3-4553-4DDB-94F1-EAEFDAA47EB3}"/>
              </a:ext>
            </a:extLst>
          </xdr:cNvPr>
          <xdr:cNvSpPr>
            <a:spLocks noChangeShapeType="1"/>
          </xdr:cNvSpPr>
        </xdr:nvSpPr>
        <xdr:spPr bwMode="auto">
          <a:xfrm>
            <a:off x="3076578" y="9963153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3" name="Line 8">
            <a:extLst>
              <a:ext uri="{FF2B5EF4-FFF2-40B4-BE49-F238E27FC236}">
                <a16:creationId xmlns:a16="http://schemas.microsoft.com/office/drawing/2014/main" id="{9083A374-B1C9-476B-A498-8B6595493144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9" y="10039352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9</xdr:col>
      <xdr:colOff>109543</xdr:colOff>
      <xdr:row>73</xdr:row>
      <xdr:rowOff>0</xdr:rowOff>
    </xdr:from>
    <xdr:to>
      <xdr:col>19</xdr:col>
      <xdr:colOff>57152</xdr:colOff>
      <xdr:row>76</xdr:row>
      <xdr:rowOff>61915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F2314E84-2B2C-4136-A732-BD954D5241A6}"/>
            </a:ext>
          </a:extLst>
        </xdr:cNvPr>
        <xdr:cNvGrpSpPr/>
      </xdr:nvGrpSpPr>
      <xdr:grpSpPr>
        <a:xfrm>
          <a:off x="1566868" y="10944225"/>
          <a:ext cx="1566859" cy="490540"/>
          <a:chOff x="1566868" y="10944225"/>
          <a:chExt cx="1566859" cy="490540"/>
        </a:xfrm>
      </xdr:grpSpPr>
      <xdr:sp macro="" textlink="">
        <xdr:nvSpPr>
          <xdr:cNvPr id="97" name="AutoShape 207">
            <a:extLst>
              <a:ext uri="{FF2B5EF4-FFF2-40B4-BE49-F238E27FC236}">
                <a16:creationId xmlns:a16="http://schemas.microsoft.com/office/drawing/2014/main" id="{8D6FDBC8-43FE-4DF2-A7E0-A834E2DF8B21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10944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8" name="AutoShape 208">
            <a:extLst>
              <a:ext uri="{FF2B5EF4-FFF2-40B4-BE49-F238E27FC236}">
                <a16:creationId xmlns:a16="http://schemas.microsoft.com/office/drawing/2014/main" id="{2E9A0E64-5C8B-4028-A6C3-5CA76CD3B945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10944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9" name="AutoShape 209">
            <a:extLst>
              <a:ext uri="{FF2B5EF4-FFF2-40B4-BE49-F238E27FC236}">
                <a16:creationId xmlns:a16="http://schemas.microsoft.com/office/drawing/2014/main" id="{80192F51-6C47-49CC-80C6-45D97C4FE1B3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109537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7" name="AutoShape 217">
            <a:extLst>
              <a:ext uri="{FF2B5EF4-FFF2-40B4-BE49-F238E27FC236}">
                <a16:creationId xmlns:a16="http://schemas.microsoft.com/office/drawing/2014/main" id="{108CDE7E-44EC-4A4E-B03D-ABB83F1D7272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10944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14" name="Line 4">
            <a:extLst>
              <a:ext uri="{FF2B5EF4-FFF2-40B4-BE49-F238E27FC236}">
                <a16:creationId xmlns:a16="http://schemas.microsoft.com/office/drawing/2014/main" id="{CCEB16D2-2902-4FBB-A671-1D3BABE0520A}"/>
              </a:ext>
            </a:extLst>
          </xdr:cNvPr>
          <xdr:cNvSpPr>
            <a:spLocks noChangeShapeType="1"/>
          </xdr:cNvSpPr>
        </xdr:nvSpPr>
        <xdr:spPr bwMode="auto">
          <a:xfrm>
            <a:off x="1619255" y="11249027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5" name="Line 5">
            <a:extLst>
              <a:ext uri="{FF2B5EF4-FFF2-40B4-BE49-F238E27FC236}">
                <a16:creationId xmlns:a16="http://schemas.microsoft.com/office/drawing/2014/main" id="{29972363-7A64-40C6-AB1A-BEA233DD91A0}"/>
              </a:ext>
            </a:extLst>
          </xdr:cNvPr>
          <xdr:cNvSpPr>
            <a:spLocks noChangeShapeType="1"/>
          </xdr:cNvSpPr>
        </xdr:nvSpPr>
        <xdr:spPr bwMode="auto">
          <a:xfrm>
            <a:off x="1566868" y="11372852"/>
            <a:ext cx="156685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6" name="Line 6">
            <a:extLst>
              <a:ext uri="{FF2B5EF4-FFF2-40B4-BE49-F238E27FC236}">
                <a16:creationId xmlns:a16="http://schemas.microsoft.com/office/drawing/2014/main" id="{04B6AB4E-BDA7-45D5-B1A8-3A8ADC284822}"/>
              </a:ext>
            </a:extLst>
          </xdr:cNvPr>
          <xdr:cNvSpPr>
            <a:spLocks noChangeShapeType="1"/>
          </xdr:cNvSpPr>
        </xdr:nvSpPr>
        <xdr:spPr bwMode="auto">
          <a:xfrm>
            <a:off x="2590805" y="1125855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7" name="Line 7">
            <a:extLst>
              <a:ext uri="{FF2B5EF4-FFF2-40B4-BE49-F238E27FC236}">
                <a16:creationId xmlns:a16="http://schemas.microsoft.com/office/drawing/2014/main" id="{738188F5-6AE4-4708-AB3C-681EF4FF5D4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76392" y="11339515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8" name="Line 8">
            <a:extLst>
              <a:ext uri="{FF2B5EF4-FFF2-40B4-BE49-F238E27FC236}">
                <a16:creationId xmlns:a16="http://schemas.microsoft.com/office/drawing/2014/main" id="{A58036A4-3ED2-46A3-BD1C-63C06C480C9F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6" y="1133475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19" name="Line 9">
            <a:extLst>
              <a:ext uri="{FF2B5EF4-FFF2-40B4-BE49-F238E27FC236}">
                <a16:creationId xmlns:a16="http://schemas.microsoft.com/office/drawing/2014/main" id="{332B5B9B-8BDE-4226-8345-2F53219055B0}"/>
              </a:ext>
            </a:extLst>
          </xdr:cNvPr>
          <xdr:cNvSpPr>
            <a:spLocks noChangeShapeType="1"/>
          </xdr:cNvSpPr>
        </xdr:nvSpPr>
        <xdr:spPr bwMode="auto">
          <a:xfrm>
            <a:off x="2105030" y="11258553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0" name="Line 10">
            <a:extLst>
              <a:ext uri="{FF2B5EF4-FFF2-40B4-BE49-F238E27FC236}">
                <a16:creationId xmlns:a16="http://schemas.microsoft.com/office/drawing/2014/main" id="{5054A727-AA00-4ED8-AA9D-849558053143}"/>
              </a:ext>
            </a:extLst>
          </xdr:cNvPr>
          <xdr:cNvSpPr>
            <a:spLocks noChangeShapeType="1"/>
          </xdr:cNvSpPr>
        </xdr:nvSpPr>
        <xdr:spPr bwMode="auto">
          <a:xfrm flipH="1">
            <a:off x="2076456" y="11339513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1" name="Line 6">
            <a:extLst>
              <a:ext uri="{FF2B5EF4-FFF2-40B4-BE49-F238E27FC236}">
                <a16:creationId xmlns:a16="http://schemas.microsoft.com/office/drawing/2014/main" id="{B5CE4153-5A1D-4B21-B340-DBBAEB54C111}"/>
              </a:ext>
            </a:extLst>
          </xdr:cNvPr>
          <xdr:cNvSpPr>
            <a:spLocks noChangeShapeType="1"/>
          </xdr:cNvSpPr>
        </xdr:nvSpPr>
        <xdr:spPr bwMode="auto">
          <a:xfrm>
            <a:off x="3076577" y="11258553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2" name="Line 8">
            <a:extLst>
              <a:ext uri="{FF2B5EF4-FFF2-40B4-BE49-F238E27FC236}">
                <a16:creationId xmlns:a16="http://schemas.microsoft.com/office/drawing/2014/main" id="{45368BCC-BACD-4DFA-BAB3-C85058974FA2}"/>
              </a:ext>
            </a:extLst>
          </xdr:cNvPr>
          <xdr:cNvSpPr>
            <a:spLocks noChangeShapeType="1"/>
          </xdr:cNvSpPr>
        </xdr:nvSpPr>
        <xdr:spPr bwMode="auto">
          <a:xfrm flipH="1">
            <a:off x="3019425" y="11334752"/>
            <a:ext cx="95253" cy="8572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6</xdr:col>
      <xdr:colOff>109541</xdr:colOff>
      <xdr:row>84</xdr:row>
      <xdr:rowOff>0</xdr:rowOff>
    </xdr:from>
    <xdr:to>
      <xdr:col>19</xdr:col>
      <xdr:colOff>57150</xdr:colOff>
      <xdr:row>87</xdr:row>
      <xdr:rowOff>61915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C9E962A9-F342-4C3A-9BAD-9AB4821CD9A0}"/>
            </a:ext>
          </a:extLst>
        </xdr:cNvPr>
        <xdr:cNvGrpSpPr/>
      </xdr:nvGrpSpPr>
      <xdr:grpSpPr>
        <a:xfrm>
          <a:off x="1081091" y="12534900"/>
          <a:ext cx="2052634" cy="490540"/>
          <a:chOff x="1081091" y="12534900"/>
          <a:chExt cx="2052634" cy="490540"/>
        </a:xfrm>
      </xdr:grpSpPr>
      <xdr:sp macro="" textlink="">
        <xdr:nvSpPr>
          <xdr:cNvPr id="110" name="AutoShape 220">
            <a:extLst>
              <a:ext uri="{FF2B5EF4-FFF2-40B4-BE49-F238E27FC236}">
                <a16:creationId xmlns:a16="http://schemas.microsoft.com/office/drawing/2014/main" id="{86D26F1D-6499-43AE-9CBE-99611372AE2F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125349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1" name="AutoShape 221">
            <a:extLst>
              <a:ext uri="{FF2B5EF4-FFF2-40B4-BE49-F238E27FC236}">
                <a16:creationId xmlns:a16="http://schemas.microsoft.com/office/drawing/2014/main" id="{A6BFF5AB-4B5D-4F80-BDE9-315E7CC498B4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125349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12" name="AutoShape 222">
            <a:extLst>
              <a:ext uri="{FF2B5EF4-FFF2-40B4-BE49-F238E27FC236}">
                <a16:creationId xmlns:a16="http://schemas.microsoft.com/office/drawing/2014/main" id="{A0079C0C-C86C-4870-AB48-20A3AAA6CEDF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125444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0" name="AutoShape 230">
            <a:extLst>
              <a:ext uri="{FF2B5EF4-FFF2-40B4-BE49-F238E27FC236}">
                <a16:creationId xmlns:a16="http://schemas.microsoft.com/office/drawing/2014/main" id="{0F496749-0C35-46C2-9693-BC1F9B5F9A9F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125349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3" name="AutoShape 233">
            <a:extLst>
              <a:ext uri="{FF2B5EF4-FFF2-40B4-BE49-F238E27FC236}">
                <a16:creationId xmlns:a16="http://schemas.microsoft.com/office/drawing/2014/main" id="{452C5CE5-2958-417C-BBA1-2301BF620C89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125349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23" name="Line 4">
            <a:extLst>
              <a:ext uri="{FF2B5EF4-FFF2-40B4-BE49-F238E27FC236}">
                <a16:creationId xmlns:a16="http://schemas.microsoft.com/office/drawing/2014/main" id="{882FBCE3-286D-4108-BB8C-4842A7925C48}"/>
              </a:ext>
            </a:extLst>
          </xdr:cNvPr>
          <xdr:cNvSpPr>
            <a:spLocks noChangeShapeType="1"/>
          </xdr:cNvSpPr>
        </xdr:nvSpPr>
        <xdr:spPr bwMode="auto">
          <a:xfrm>
            <a:off x="1133478" y="128397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4" name="Line 5">
            <a:extLst>
              <a:ext uri="{FF2B5EF4-FFF2-40B4-BE49-F238E27FC236}">
                <a16:creationId xmlns:a16="http://schemas.microsoft.com/office/drawing/2014/main" id="{6B48673F-2A8E-483E-8331-20D2AFDE913C}"/>
              </a:ext>
            </a:extLst>
          </xdr:cNvPr>
          <xdr:cNvSpPr>
            <a:spLocks noChangeShapeType="1"/>
          </xdr:cNvSpPr>
        </xdr:nvSpPr>
        <xdr:spPr bwMode="auto">
          <a:xfrm>
            <a:off x="1081091" y="12963527"/>
            <a:ext cx="205263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5" name="Line 6">
            <a:extLst>
              <a:ext uri="{FF2B5EF4-FFF2-40B4-BE49-F238E27FC236}">
                <a16:creationId xmlns:a16="http://schemas.microsoft.com/office/drawing/2014/main" id="{555F828C-0C14-41AC-984D-546B0B1A44CA}"/>
              </a:ext>
            </a:extLst>
          </xdr:cNvPr>
          <xdr:cNvSpPr>
            <a:spLocks noChangeShapeType="1"/>
          </xdr:cNvSpPr>
        </xdr:nvSpPr>
        <xdr:spPr bwMode="auto">
          <a:xfrm>
            <a:off x="2105028" y="128492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6" name="Line 7">
            <a:extLst>
              <a:ext uri="{FF2B5EF4-FFF2-40B4-BE49-F238E27FC236}">
                <a16:creationId xmlns:a16="http://schemas.microsoft.com/office/drawing/2014/main" id="{61E3D708-42F3-4637-A471-9D194382930E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0615" y="129301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7" name="Line 8">
            <a:extLst>
              <a:ext uri="{FF2B5EF4-FFF2-40B4-BE49-F238E27FC236}">
                <a16:creationId xmlns:a16="http://schemas.microsoft.com/office/drawing/2014/main" id="{19B3D2CC-AF8B-490E-9306-DD439298599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9" y="129254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8" name="Line 9">
            <a:extLst>
              <a:ext uri="{FF2B5EF4-FFF2-40B4-BE49-F238E27FC236}">
                <a16:creationId xmlns:a16="http://schemas.microsoft.com/office/drawing/2014/main" id="{2A260A77-38DB-4713-9882-0D5751313823}"/>
              </a:ext>
            </a:extLst>
          </xdr:cNvPr>
          <xdr:cNvSpPr>
            <a:spLocks noChangeShapeType="1"/>
          </xdr:cNvSpPr>
        </xdr:nvSpPr>
        <xdr:spPr bwMode="auto">
          <a:xfrm>
            <a:off x="1619253" y="128492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29" name="Line 10">
            <a:extLst>
              <a:ext uri="{FF2B5EF4-FFF2-40B4-BE49-F238E27FC236}">
                <a16:creationId xmlns:a16="http://schemas.microsoft.com/office/drawing/2014/main" id="{DB72AAD2-D31D-4E09-A79E-A60C94C5C3F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0679" y="129301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0" name="Line 6">
            <a:extLst>
              <a:ext uri="{FF2B5EF4-FFF2-40B4-BE49-F238E27FC236}">
                <a16:creationId xmlns:a16="http://schemas.microsoft.com/office/drawing/2014/main" id="{B868F3AF-E12B-4899-BA1A-082B3233A7EF}"/>
              </a:ext>
            </a:extLst>
          </xdr:cNvPr>
          <xdr:cNvSpPr>
            <a:spLocks noChangeShapeType="1"/>
          </xdr:cNvSpPr>
        </xdr:nvSpPr>
        <xdr:spPr bwMode="auto">
          <a:xfrm>
            <a:off x="2590800" y="128492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1" name="Line 8">
            <a:extLst>
              <a:ext uri="{FF2B5EF4-FFF2-40B4-BE49-F238E27FC236}">
                <a16:creationId xmlns:a16="http://schemas.microsoft.com/office/drawing/2014/main" id="{E202C397-C1FD-4599-8D5F-9F3AB04239D1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1" y="129254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2" name="Line 6">
            <a:extLst>
              <a:ext uri="{FF2B5EF4-FFF2-40B4-BE49-F238E27FC236}">
                <a16:creationId xmlns:a16="http://schemas.microsoft.com/office/drawing/2014/main" id="{23FBBCED-0742-435D-ADF3-94653E9E0A02}"/>
              </a:ext>
            </a:extLst>
          </xdr:cNvPr>
          <xdr:cNvSpPr>
            <a:spLocks noChangeShapeType="1"/>
          </xdr:cNvSpPr>
        </xdr:nvSpPr>
        <xdr:spPr bwMode="auto">
          <a:xfrm>
            <a:off x="3076579" y="128492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3" name="Line 8">
            <a:extLst>
              <a:ext uri="{FF2B5EF4-FFF2-40B4-BE49-F238E27FC236}">
                <a16:creationId xmlns:a16="http://schemas.microsoft.com/office/drawing/2014/main" id="{EABD66BE-D67E-431D-B3E6-155D0D9F987A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80" y="129254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6</xdr:col>
      <xdr:colOff>109537</xdr:colOff>
      <xdr:row>99</xdr:row>
      <xdr:rowOff>0</xdr:rowOff>
    </xdr:from>
    <xdr:to>
      <xdr:col>19</xdr:col>
      <xdr:colOff>57146</xdr:colOff>
      <xdr:row>102</xdr:row>
      <xdr:rowOff>61912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DDBB426C-8DB8-4650-B1D9-6BCE4A6B8ED4}"/>
            </a:ext>
          </a:extLst>
        </xdr:cNvPr>
        <xdr:cNvGrpSpPr/>
      </xdr:nvGrpSpPr>
      <xdr:grpSpPr>
        <a:xfrm>
          <a:off x="1081087" y="14687550"/>
          <a:ext cx="2052634" cy="490537"/>
          <a:chOff x="1081087" y="14687550"/>
          <a:chExt cx="2052634" cy="490537"/>
        </a:xfrm>
      </xdr:grpSpPr>
      <xdr:sp macro="" textlink="">
        <xdr:nvSpPr>
          <xdr:cNvPr id="126" name="AutoShape 236">
            <a:extLst>
              <a:ext uri="{FF2B5EF4-FFF2-40B4-BE49-F238E27FC236}">
                <a16:creationId xmlns:a16="http://schemas.microsoft.com/office/drawing/2014/main" id="{28D0E754-BF14-4530-A112-57E31F23C6EE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146875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7" name="AutoShape 237">
            <a:extLst>
              <a:ext uri="{FF2B5EF4-FFF2-40B4-BE49-F238E27FC236}">
                <a16:creationId xmlns:a16="http://schemas.microsoft.com/office/drawing/2014/main" id="{94DA7525-9CFD-4D9B-87E9-872E93850744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146875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28" name="AutoShape 238">
            <a:extLst>
              <a:ext uri="{FF2B5EF4-FFF2-40B4-BE49-F238E27FC236}">
                <a16:creationId xmlns:a16="http://schemas.microsoft.com/office/drawing/2014/main" id="{D89B1966-0C25-4D76-89D1-82242419749C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146970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6" name="AutoShape 246">
            <a:extLst>
              <a:ext uri="{FF2B5EF4-FFF2-40B4-BE49-F238E27FC236}">
                <a16:creationId xmlns:a16="http://schemas.microsoft.com/office/drawing/2014/main" id="{C6DAFA78-6601-4E2A-9098-56DCBA5ED876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146875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9" name="AutoShape 249">
            <a:extLst>
              <a:ext uri="{FF2B5EF4-FFF2-40B4-BE49-F238E27FC236}">
                <a16:creationId xmlns:a16="http://schemas.microsoft.com/office/drawing/2014/main" id="{686D0F7B-FBEC-42FE-9C7A-5939BD4DE8B4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146875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34" name="Line 4">
            <a:extLst>
              <a:ext uri="{FF2B5EF4-FFF2-40B4-BE49-F238E27FC236}">
                <a16:creationId xmlns:a16="http://schemas.microsoft.com/office/drawing/2014/main" id="{9E1AF1BF-1CBC-41CB-8254-0FFAD4DC9C67}"/>
              </a:ext>
            </a:extLst>
          </xdr:cNvPr>
          <xdr:cNvSpPr>
            <a:spLocks noChangeShapeType="1"/>
          </xdr:cNvSpPr>
        </xdr:nvSpPr>
        <xdr:spPr bwMode="auto">
          <a:xfrm>
            <a:off x="1133474" y="14992349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5" name="Line 5">
            <a:extLst>
              <a:ext uri="{FF2B5EF4-FFF2-40B4-BE49-F238E27FC236}">
                <a16:creationId xmlns:a16="http://schemas.microsoft.com/office/drawing/2014/main" id="{EFFFFAD3-CAD1-4374-B05E-699AEB9FCA69}"/>
              </a:ext>
            </a:extLst>
          </xdr:cNvPr>
          <xdr:cNvSpPr>
            <a:spLocks noChangeShapeType="1"/>
          </xdr:cNvSpPr>
        </xdr:nvSpPr>
        <xdr:spPr bwMode="auto">
          <a:xfrm>
            <a:off x="1081087" y="15116174"/>
            <a:ext cx="205263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6" name="Line 6">
            <a:extLst>
              <a:ext uri="{FF2B5EF4-FFF2-40B4-BE49-F238E27FC236}">
                <a16:creationId xmlns:a16="http://schemas.microsoft.com/office/drawing/2014/main" id="{697B3A24-F2D9-47BB-9CFA-A2B81C01355B}"/>
              </a:ext>
            </a:extLst>
          </xdr:cNvPr>
          <xdr:cNvSpPr>
            <a:spLocks noChangeShapeType="1"/>
          </xdr:cNvSpPr>
        </xdr:nvSpPr>
        <xdr:spPr bwMode="auto">
          <a:xfrm>
            <a:off x="2105024" y="15001874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7" name="Line 7">
            <a:extLst>
              <a:ext uri="{FF2B5EF4-FFF2-40B4-BE49-F238E27FC236}">
                <a16:creationId xmlns:a16="http://schemas.microsoft.com/office/drawing/2014/main" id="{C555C7D9-1D4A-49D4-AB5A-FA205C5B651E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0611" y="15082837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8" name="Line 8">
            <a:extLst>
              <a:ext uri="{FF2B5EF4-FFF2-40B4-BE49-F238E27FC236}">
                <a16:creationId xmlns:a16="http://schemas.microsoft.com/office/drawing/2014/main" id="{4F2EF584-278C-46CA-A1F2-A0EAFF0BDE7D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5" y="15078073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39" name="Line 9">
            <a:extLst>
              <a:ext uri="{FF2B5EF4-FFF2-40B4-BE49-F238E27FC236}">
                <a16:creationId xmlns:a16="http://schemas.microsoft.com/office/drawing/2014/main" id="{DE714E15-23D3-48F7-8E6E-BF96AC424D7D}"/>
              </a:ext>
            </a:extLst>
          </xdr:cNvPr>
          <xdr:cNvSpPr>
            <a:spLocks noChangeShapeType="1"/>
          </xdr:cNvSpPr>
        </xdr:nvSpPr>
        <xdr:spPr bwMode="auto">
          <a:xfrm>
            <a:off x="1619249" y="15001875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0" name="Line 10">
            <a:extLst>
              <a:ext uri="{FF2B5EF4-FFF2-40B4-BE49-F238E27FC236}">
                <a16:creationId xmlns:a16="http://schemas.microsoft.com/office/drawing/2014/main" id="{BF2EFC94-5B5D-4265-B691-7B14EE89B5D9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0675" y="15082835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1" name="Line 6">
            <a:extLst>
              <a:ext uri="{FF2B5EF4-FFF2-40B4-BE49-F238E27FC236}">
                <a16:creationId xmlns:a16="http://schemas.microsoft.com/office/drawing/2014/main" id="{8E04ABDA-B596-4C50-AECC-98BF04CF0F5B}"/>
              </a:ext>
            </a:extLst>
          </xdr:cNvPr>
          <xdr:cNvSpPr>
            <a:spLocks noChangeShapeType="1"/>
          </xdr:cNvSpPr>
        </xdr:nvSpPr>
        <xdr:spPr bwMode="auto">
          <a:xfrm>
            <a:off x="2590796" y="15001875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2" name="Line 8">
            <a:extLst>
              <a:ext uri="{FF2B5EF4-FFF2-40B4-BE49-F238E27FC236}">
                <a16:creationId xmlns:a16="http://schemas.microsoft.com/office/drawing/2014/main" id="{51BAC165-9BF7-4B5C-A2FD-FB7A5F42C10B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697" y="15078074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3" name="Line 6">
            <a:extLst>
              <a:ext uri="{FF2B5EF4-FFF2-40B4-BE49-F238E27FC236}">
                <a16:creationId xmlns:a16="http://schemas.microsoft.com/office/drawing/2014/main" id="{6343E19C-5260-406F-B56D-ABECAF406FCE}"/>
              </a:ext>
            </a:extLst>
          </xdr:cNvPr>
          <xdr:cNvSpPr>
            <a:spLocks noChangeShapeType="1"/>
          </xdr:cNvSpPr>
        </xdr:nvSpPr>
        <xdr:spPr bwMode="auto">
          <a:xfrm>
            <a:off x="3076575" y="15001874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4" name="Line 8">
            <a:extLst>
              <a:ext uri="{FF2B5EF4-FFF2-40B4-BE49-F238E27FC236}">
                <a16:creationId xmlns:a16="http://schemas.microsoft.com/office/drawing/2014/main" id="{8F2C7E84-B8A4-4B56-B025-342DC67F0463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6" y="15078073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6</xdr:col>
      <xdr:colOff>109539</xdr:colOff>
      <xdr:row>110</xdr:row>
      <xdr:rowOff>0</xdr:rowOff>
    </xdr:from>
    <xdr:to>
      <xdr:col>19</xdr:col>
      <xdr:colOff>57148</xdr:colOff>
      <xdr:row>113</xdr:row>
      <xdr:rowOff>61915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C71D343-9D75-438D-8A97-09C282A02944}"/>
            </a:ext>
          </a:extLst>
        </xdr:cNvPr>
        <xdr:cNvGrpSpPr/>
      </xdr:nvGrpSpPr>
      <xdr:grpSpPr>
        <a:xfrm>
          <a:off x="1081089" y="16268700"/>
          <a:ext cx="2052634" cy="490540"/>
          <a:chOff x="1081089" y="16268700"/>
          <a:chExt cx="2052634" cy="490540"/>
        </a:xfrm>
      </xdr:grpSpPr>
      <xdr:sp macro="" textlink="">
        <xdr:nvSpPr>
          <xdr:cNvPr id="142" name="AutoShape 252">
            <a:extLst>
              <a:ext uri="{FF2B5EF4-FFF2-40B4-BE49-F238E27FC236}">
                <a16:creationId xmlns:a16="http://schemas.microsoft.com/office/drawing/2014/main" id="{978DFB7C-1102-471C-9222-DA22840C51D8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1626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3" name="AutoShape 253">
            <a:extLst>
              <a:ext uri="{FF2B5EF4-FFF2-40B4-BE49-F238E27FC236}">
                <a16:creationId xmlns:a16="http://schemas.microsoft.com/office/drawing/2014/main" id="{D9E3FEAD-D119-49B9-9456-98E6D8A2BA73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1626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44" name="AutoShape 254">
            <a:extLst>
              <a:ext uri="{FF2B5EF4-FFF2-40B4-BE49-F238E27FC236}">
                <a16:creationId xmlns:a16="http://schemas.microsoft.com/office/drawing/2014/main" id="{797CAC74-0FA5-43F2-9F47-47A72FD63D37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16278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2" name="AutoShape 262">
            <a:extLst>
              <a:ext uri="{FF2B5EF4-FFF2-40B4-BE49-F238E27FC236}">
                <a16:creationId xmlns:a16="http://schemas.microsoft.com/office/drawing/2014/main" id="{4488E982-66F8-4637-BF59-1FE216D269A3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1626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55" name="AutoShape 265">
            <a:extLst>
              <a:ext uri="{FF2B5EF4-FFF2-40B4-BE49-F238E27FC236}">
                <a16:creationId xmlns:a16="http://schemas.microsoft.com/office/drawing/2014/main" id="{A1E52E30-F652-4881-B0B3-3DE3D0843836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1626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45" name="Line 4">
            <a:extLst>
              <a:ext uri="{FF2B5EF4-FFF2-40B4-BE49-F238E27FC236}">
                <a16:creationId xmlns:a16="http://schemas.microsoft.com/office/drawing/2014/main" id="{026E9DC9-4D41-44A7-A126-F56FCED23DF8}"/>
              </a:ext>
            </a:extLst>
          </xdr:cNvPr>
          <xdr:cNvSpPr>
            <a:spLocks noChangeShapeType="1"/>
          </xdr:cNvSpPr>
        </xdr:nvSpPr>
        <xdr:spPr bwMode="auto">
          <a:xfrm>
            <a:off x="1133476" y="165735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6" name="Line 5">
            <a:extLst>
              <a:ext uri="{FF2B5EF4-FFF2-40B4-BE49-F238E27FC236}">
                <a16:creationId xmlns:a16="http://schemas.microsoft.com/office/drawing/2014/main" id="{B8CFF9F0-C246-47A9-8A1D-67B6A20A6005}"/>
              </a:ext>
            </a:extLst>
          </xdr:cNvPr>
          <xdr:cNvSpPr>
            <a:spLocks noChangeShapeType="1"/>
          </xdr:cNvSpPr>
        </xdr:nvSpPr>
        <xdr:spPr bwMode="auto">
          <a:xfrm>
            <a:off x="1081089" y="16697327"/>
            <a:ext cx="205263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7" name="Line 6">
            <a:extLst>
              <a:ext uri="{FF2B5EF4-FFF2-40B4-BE49-F238E27FC236}">
                <a16:creationId xmlns:a16="http://schemas.microsoft.com/office/drawing/2014/main" id="{DAC6E272-69C8-47DD-9C23-3CF5A0814334}"/>
              </a:ext>
            </a:extLst>
          </xdr:cNvPr>
          <xdr:cNvSpPr>
            <a:spLocks noChangeShapeType="1"/>
          </xdr:cNvSpPr>
        </xdr:nvSpPr>
        <xdr:spPr bwMode="auto">
          <a:xfrm>
            <a:off x="2105026" y="165830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8" name="Line 7">
            <a:extLst>
              <a:ext uri="{FF2B5EF4-FFF2-40B4-BE49-F238E27FC236}">
                <a16:creationId xmlns:a16="http://schemas.microsoft.com/office/drawing/2014/main" id="{9ED0DAE5-93CF-42E1-95FC-CA026F056CEC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0613" y="166639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49" name="Line 8">
            <a:extLst>
              <a:ext uri="{FF2B5EF4-FFF2-40B4-BE49-F238E27FC236}">
                <a16:creationId xmlns:a16="http://schemas.microsoft.com/office/drawing/2014/main" id="{1AA727E2-7F7E-4248-B660-2C3352650BB5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7" y="166592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50" name="Line 9">
            <a:extLst>
              <a:ext uri="{FF2B5EF4-FFF2-40B4-BE49-F238E27FC236}">
                <a16:creationId xmlns:a16="http://schemas.microsoft.com/office/drawing/2014/main" id="{82772926-5AE3-42EB-AE54-88F6845FD6A7}"/>
              </a:ext>
            </a:extLst>
          </xdr:cNvPr>
          <xdr:cNvSpPr>
            <a:spLocks noChangeShapeType="1"/>
          </xdr:cNvSpPr>
        </xdr:nvSpPr>
        <xdr:spPr bwMode="auto">
          <a:xfrm>
            <a:off x="1619251" y="165830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51" name="Line 10">
            <a:extLst>
              <a:ext uri="{FF2B5EF4-FFF2-40B4-BE49-F238E27FC236}">
                <a16:creationId xmlns:a16="http://schemas.microsoft.com/office/drawing/2014/main" id="{C5CB9115-AFB5-4463-8581-497BB870F0CA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0677" y="166639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52" name="Line 6">
            <a:extLst>
              <a:ext uri="{FF2B5EF4-FFF2-40B4-BE49-F238E27FC236}">
                <a16:creationId xmlns:a16="http://schemas.microsoft.com/office/drawing/2014/main" id="{263CEF99-AE9B-44DF-8B83-44BA0E63CC83}"/>
              </a:ext>
            </a:extLst>
          </xdr:cNvPr>
          <xdr:cNvSpPr>
            <a:spLocks noChangeShapeType="1"/>
          </xdr:cNvSpPr>
        </xdr:nvSpPr>
        <xdr:spPr bwMode="auto">
          <a:xfrm>
            <a:off x="2590798" y="165830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53" name="Line 8">
            <a:extLst>
              <a:ext uri="{FF2B5EF4-FFF2-40B4-BE49-F238E27FC236}">
                <a16:creationId xmlns:a16="http://schemas.microsoft.com/office/drawing/2014/main" id="{F80E30E8-7920-450E-9B5B-628394545656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699" y="166592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54" name="Line 6">
            <a:extLst>
              <a:ext uri="{FF2B5EF4-FFF2-40B4-BE49-F238E27FC236}">
                <a16:creationId xmlns:a16="http://schemas.microsoft.com/office/drawing/2014/main" id="{EE582EFE-CF3C-4132-B7DE-3C63103C1270}"/>
              </a:ext>
            </a:extLst>
          </xdr:cNvPr>
          <xdr:cNvSpPr>
            <a:spLocks noChangeShapeType="1"/>
          </xdr:cNvSpPr>
        </xdr:nvSpPr>
        <xdr:spPr bwMode="auto">
          <a:xfrm>
            <a:off x="3076577" y="165830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55" name="Line 8">
            <a:extLst>
              <a:ext uri="{FF2B5EF4-FFF2-40B4-BE49-F238E27FC236}">
                <a16:creationId xmlns:a16="http://schemas.microsoft.com/office/drawing/2014/main" id="{861197CC-F974-4B7F-8A39-A135CC125316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8" y="166592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6</xdr:col>
      <xdr:colOff>161921</xdr:colOff>
      <xdr:row>123</xdr:row>
      <xdr:rowOff>19051</xdr:rowOff>
    </xdr:from>
    <xdr:to>
      <xdr:col>6</xdr:col>
      <xdr:colOff>161921</xdr:colOff>
      <xdr:row>124</xdr:row>
      <xdr:rowOff>57151</xdr:rowOff>
    </xdr:to>
    <xdr:sp macro="" textlink="">
      <xdr:nvSpPr>
        <xdr:cNvPr id="456" name="Line 4">
          <a:extLst>
            <a:ext uri="{FF2B5EF4-FFF2-40B4-BE49-F238E27FC236}">
              <a16:creationId xmlns:a16="http://schemas.microsoft.com/office/drawing/2014/main" id="{9EDE0BDE-1B1F-4F45-965C-F8C9F7FE4872}"/>
            </a:ext>
          </a:extLst>
        </xdr:cNvPr>
        <xdr:cNvSpPr>
          <a:spLocks noChangeShapeType="1"/>
        </xdr:cNvSpPr>
      </xdr:nvSpPr>
      <xdr:spPr bwMode="auto">
        <a:xfrm>
          <a:off x="1781171" y="17745076"/>
          <a:ext cx="0" cy="180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109534</xdr:colOff>
      <xdr:row>124</xdr:row>
      <xdr:rowOff>1</xdr:rowOff>
    </xdr:from>
    <xdr:to>
      <xdr:col>19</xdr:col>
      <xdr:colOff>57143</xdr:colOff>
      <xdr:row>124</xdr:row>
      <xdr:rowOff>1</xdr:rowOff>
    </xdr:to>
    <xdr:sp macro="" textlink="">
      <xdr:nvSpPr>
        <xdr:cNvPr id="457" name="Line 5">
          <a:extLst>
            <a:ext uri="{FF2B5EF4-FFF2-40B4-BE49-F238E27FC236}">
              <a16:creationId xmlns:a16="http://schemas.microsoft.com/office/drawing/2014/main" id="{F736754E-6000-420C-9782-FDDCB80EAF80}"/>
            </a:ext>
          </a:extLst>
        </xdr:cNvPr>
        <xdr:cNvSpPr>
          <a:spLocks noChangeShapeType="1"/>
        </xdr:cNvSpPr>
      </xdr:nvSpPr>
      <xdr:spPr bwMode="auto">
        <a:xfrm>
          <a:off x="1728784" y="17868901"/>
          <a:ext cx="205263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12</xdr:col>
      <xdr:colOff>161921</xdr:colOff>
      <xdr:row>123</xdr:row>
      <xdr:rowOff>28576</xdr:rowOff>
    </xdr:from>
    <xdr:to>
      <xdr:col>12</xdr:col>
      <xdr:colOff>161921</xdr:colOff>
      <xdr:row>124</xdr:row>
      <xdr:rowOff>57151</xdr:rowOff>
    </xdr:to>
    <xdr:sp macro="" textlink="">
      <xdr:nvSpPr>
        <xdr:cNvPr id="458" name="Line 6">
          <a:extLst>
            <a:ext uri="{FF2B5EF4-FFF2-40B4-BE49-F238E27FC236}">
              <a16:creationId xmlns:a16="http://schemas.microsoft.com/office/drawing/2014/main" id="{9DF7862D-9145-407F-ADA9-4189140CAC60}"/>
            </a:ext>
          </a:extLst>
        </xdr:cNvPr>
        <xdr:cNvSpPr>
          <a:spLocks noChangeShapeType="1"/>
        </xdr:cNvSpPr>
      </xdr:nvSpPr>
      <xdr:spPr bwMode="auto">
        <a:xfrm>
          <a:off x="2752721" y="17754601"/>
          <a:ext cx="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119058</xdr:colOff>
      <xdr:row>123</xdr:row>
      <xdr:rowOff>109539</xdr:rowOff>
    </xdr:from>
    <xdr:to>
      <xdr:col>7</xdr:col>
      <xdr:colOff>33332</xdr:colOff>
      <xdr:row>124</xdr:row>
      <xdr:rowOff>42863</xdr:rowOff>
    </xdr:to>
    <xdr:sp macro="" textlink="">
      <xdr:nvSpPr>
        <xdr:cNvPr id="459" name="Line 7">
          <a:extLst>
            <a:ext uri="{FF2B5EF4-FFF2-40B4-BE49-F238E27FC236}">
              <a16:creationId xmlns:a16="http://schemas.microsoft.com/office/drawing/2014/main" id="{86A56161-FC54-43F9-8573-5FDD1A2734A3}"/>
            </a:ext>
          </a:extLst>
        </xdr:cNvPr>
        <xdr:cNvSpPr>
          <a:spLocks noChangeShapeType="1"/>
        </xdr:cNvSpPr>
      </xdr:nvSpPr>
      <xdr:spPr bwMode="auto">
        <a:xfrm flipH="1">
          <a:off x="1738308" y="17835564"/>
          <a:ext cx="76199" cy="761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12</xdr:col>
      <xdr:colOff>123822</xdr:colOff>
      <xdr:row>123</xdr:row>
      <xdr:rowOff>104775</xdr:rowOff>
    </xdr:from>
    <xdr:to>
      <xdr:col>13</xdr:col>
      <xdr:colOff>38097</xdr:colOff>
      <xdr:row>124</xdr:row>
      <xdr:rowOff>47625</xdr:rowOff>
    </xdr:to>
    <xdr:sp macro="" textlink="">
      <xdr:nvSpPr>
        <xdr:cNvPr id="460" name="Line 8">
          <a:extLst>
            <a:ext uri="{FF2B5EF4-FFF2-40B4-BE49-F238E27FC236}">
              <a16:creationId xmlns:a16="http://schemas.microsoft.com/office/drawing/2014/main" id="{B32DEF80-F8FF-4B0E-BD35-8C094A00706D}"/>
            </a:ext>
          </a:extLst>
        </xdr:cNvPr>
        <xdr:cNvSpPr>
          <a:spLocks noChangeShapeType="1"/>
        </xdr:cNvSpPr>
      </xdr:nvSpPr>
      <xdr:spPr bwMode="auto">
        <a:xfrm flipH="1">
          <a:off x="2714622" y="17830800"/>
          <a:ext cx="76200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9</xdr:col>
      <xdr:colOff>161921</xdr:colOff>
      <xdr:row>123</xdr:row>
      <xdr:rowOff>28577</xdr:rowOff>
    </xdr:from>
    <xdr:to>
      <xdr:col>9</xdr:col>
      <xdr:colOff>161921</xdr:colOff>
      <xdr:row>124</xdr:row>
      <xdr:rowOff>61914</xdr:rowOff>
    </xdr:to>
    <xdr:sp macro="" textlink="">
      <xdr:nvSpPr>
        <xdr:cNvPr id="461" name="Line 9">
          <a:extLst>
            <a:ext uri="{FF2B5EF4-FFF2-40B4-BE49-F238E27FC236}">
              <a16:creationId xmlns:a16="http://schemas.microsoft.com/office/drawing/2014/main" id="{883A3EBF-D94D-41EA-BDB1-6C2E39E7A978}"/>
            </a:ext>
          </a:extLst>
        </xdr:cNvPr>
        <xdr:cNvSpPr>
          <a:spLocks noChangeShapeType="1"/>
        </xdr:cNvSpPr>
      </xdr:nvSpPr>
      <xdr:spPr bwMode="auto">
        <a:xfrm>
          <a:off x="2266946" y="17754602"/>
          <a:ext cx="0" cy="1762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9</xdr:col>
      <xdr:colOff>133347</xdr:colOff>
      <xdr:row>123</xdr:row>
      <xdr:rowOff>109537</xdr:rowOff>
    </xdr:from>
    <xdr:to>
      <xdr:col>10</xdr:col>
      <xdr:colOff>28572</xdr:colOff>
      <xdr:row>124</xdr:row>
      <xdr:rowOff>33337</xdr:rowOff>
    </xdr:to>
    <xdr:sp macro="" textlink="">
      <xdr:nvSpPr>
        <xdr:cNvPr id="462" name="Line 10">
          <a:extLst>
            <a:ext uri="{FF2B5EF4-FFF2-40B4-BE49-F238E27FC236}">
              <a16:creationId xmlns:a16="http://schemas.microsoft.com/office/drawing/2014/main" id="{6677A2F7-0EDA-4803-908C-C4DA51C65767}"/>
            </a:ext>
          </a:extLst>
        </xdr:cNvPr>
        <xdr:cNvSpPr>
          <a:spLocks noChangeShapeType="1"/>
        </xdr:cNvSpPr>
      </xdr:nvSpPr>
      <xdr:spPr bwMode="auto">
        <a:xfrm flipH="1">
          <a:off x="2238372" y="17835562"/>
          <a:ext cx="57150" cy="66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15</xdr:col>
      <xdr:colOff>161918</xdr:colOff>
      <xdr:row>123</xdr:row>
      <xdr:rowOff>28577</xdr:rowOff>
    </xdr:from>
    <xdr:to>
      <xdr:col>15</xdr:col>
      <xdr:colOff>161918</xdr:colOff>
      <xdr:row>124</xdr:row>
      <xdr:rowOff>57152</xdr:rowOff>
    </xdr:to>
    <xdr:sp macro="" textlink="">
      <xdr:nvSpPr>
        <xdr:cNvPr id="463" name="Line 6">
          <a:extLst>
            <a:ext uri="{FF2B5EF4-FFF2-40B4-BE49-F238E27FC236}">
              <a16:creationId xmlns:a16="http://schemas.microsoft.com/office/drawing/2014/main" id="{F3D7AD8B-3839-4480-813C-E96D92C57C38}"/>
            </a:ext>
          </a:extLst>
        </xdr:cNvPr>
        <xdr:cNvSpPr>
          <a:spLocks noChangeShapeType="1"/>
        </xdr:cNvSpPr>
      </xdr:nvSpPr>
      <xdr:spPr bwMode="auto">
        <a:xfrm>
          <a:off x="3238493" y="17754602"/>
          <a:ext cx="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15</xdr:col>
      <xdr:colOff>123819</xdr:colOff>
      <xdr:row>123</xdr:row>
      <xdr:rowOff>104776</xdr:rowOff>
    </xdr:from>
    <xdr:to>
      <xdr:col>16</xdr:col>
      <xdr:colOff>38094</xdr:colOff>
      <xdr:row>124</xdr:row>
      <xdr:rowOff>47626</xdr:rowOff>
    </xdr:to>
    <xdr:sp macro="" textlink="">
      <xdr:nvSpPr>
        <xdr:cNvPr id="464" name="Line 8">
          <a:extLst>
            <a:ext uri="{FF2B5EF4-FFF2-40B4-BE49-F238E27FC236}">
              <a16:creationId xmlns:a16="http://schemas.microsoft.com/office/drawing/2014/main" id="{12B2A32D-F5CE-4214-BAFF-1641D731E079}"/>
            </a:ext>
          </a:extLst>
        </xdr:cNvPr>
        <xdr:cNvSpPr>
          <a:spLocks noChangeShapeType="1"/>
        </xdr:cNvSpPr>
      </xdr:nvSpPr>
      <xdr:spPr bwMode="auto">
        <a:xfrm flipH="1">
          <a:off x="3200394" y="17830801"/>
          <a:ext cx="76200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18</xdr:col>
      <xdr:colOff>161922</xdr:colOff>
      <xdr:row>123</xdr:row>
      <xdr:rowOff>28576</xdr:rowOff>
    </xdr:from>
    <xdr:to>
      <xdr:col>18</xdr:col>
      <xdr:colOff>161922</xdr:colOff>
      <xdr:row>124</xdr:row>
      <xdr:rowOff>57151</xdr:rowOff>
    </xdr:to>
    <xdr:sp macro="" textlink="">
      <xdr:nvSpPr>
        <xdr:cNvPr id="465" name="Line 6">
          <a:extLst>
            <a:ext uri="{FF2B5EF4-FFF2-40B4-BE49-F238E27FC236}">
              <a16:creationId xmlns:a16="http://schemas.microsoft.com/office/drawing/2014/main" id="{9CC88E42-511A-43D5-AF8B-3F3A44F366F6}"/>
            </a:ext>
          </a:extLst>
        </xdr:cNvPr>
        <xdr:cNvSpPr>
          <a:spLocks noChangeShapeType="1"/>
        </xdr:cNvSpPr>
      </xdr:nvSpPr>
      <xdr:spPr bwMode="auto">
        <a:xfrm>
          <a:off x="3724272" y="17754601"/>
          <a:ext cx="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18</xdr:col>
      <xdr:colOff>123823</xdr:colOff>
      <xdr:row>123</xdr:row>
      <xdr:rowOff>104775</xdr:rowOff>
    </xdr:from>
    <xdr:to>
      <xdr:col>19</xdr:col>
      <xdr:colOff>38098</xdr:colOff>
      <xdr:row>124</xdr:row>
      <xdr:rowOff>47625</xdr:rowOff>
    </xdr:to>
    <xdr:sp macro="" textlink="">
      <xdr:nvSpPr>
        <xdr:cNvPr id="466" name="Line 8">
          <a:extLst>
            <a:ext uri="{FF2B5EF4-FFF2-40B4-BE49-F238E27FC236}">
              <a16:creationId xmlns:a16="http://schemas.microsoft.com/office/drawing/2014/main" id="{33FFBA54-0183-4D3E-9008-1AC4956EDADB}"/>
            </a:ext>
          </a:extLst>
        </xdr:cNvPr>
        <xdr:cNvSpPr>
          <a:spLocks noChangeShapeType="1"/>
        </xdr:cNvSpPr>
      </xdr:nvSpPr>
      <xdr:spPr bwMode="auto">
        <a:xfrm flipH="1">
          <a:off x="3686173" y="17830800"/>
          <a:ext cx="76200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109532</xdr:colOff>
      <xdr:row>132</xdr:row>
      <xdr:rowOff>0</xdr:rowOff>
    </xdr:from>
    <xdr:to>
      <xdr:col>19</xdr:col>
      <xdr:colOff>57141</xdr:colOff>
      <xdr:row>135</xdr:row>
      <xdr:rowOff>61915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0B3461FA-C211-4D7B-9701-834D9A938638}"/>
            </a:ext>
          </a:extLst>
        </xdr:cNvPr>
        <xdr:cNvGrpSpPr/>
      </xdr:nvGrpSpPr>
      <xdr:grpSpPr>
        <a:xfrm>
          <a:off x="1081082" y="19431000"/>
          <a:ext cx="2052634" cy="490540"/>
          <a:chOff x="1081082" y="19431000"/>
          <a:chExt cx="2052634" cy="490540"/>
        </a:xfrm>
      </xdr:grpSpPr>
      <xdr:sp macro="" textlink="">
        <xdr:nvSpPr>
          <xdr:cNvPr id="174" name="AutoShape 284">
            <a:extLst>
              <a:ext uri="{FF2B5EF4-FFF2-40B4-BE49-F238E27FC236}">
                <a16:creationId xmlns:a16="http://schemas.microsoft.com/office/drawing/2014/main" id="{E4844EC7-AD40-44B6-BA47-7D5C06872B14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194310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5" name="AutoShape 285">
            <a:extLst>
              <a:ext uri="{FF2B5EF4-FFF2-40B4-BE49-F238E27FC236}">
                <a16:creationId xmlns:a16="http://schemas.microsoft.com/office/drawing/2014/main" id="{4ED8768A-81AB-4F25-AC9A-95B1001B5B0E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194310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76" name="AutoShape 286">
            <a:extLst>
              <a:ext uri="{FF2B5EF4-FFF2-40B4-BE49-F238E27FC236}">
                <a16:creationId xmlns:a16="http://schemas.microsoft.com/office/drawing/2014/main" id="{5BF172B2-DB53-42C5-AEF7-3B0C4FDD4B17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194405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84" name="AutoShape 294">
            <a:extLst>
              <a:ext uri="{FF2B5EF4-FFF2-40B4-BE49-F238E27FC236}">
                <a16:creationId xmlns:a16="http://schemas.microsoft.com/office/drawing/2014/main" id="{F75FA58B-CCDF-4A76-8491-7C1103790FD8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194310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87" name="AutoShape 297">
            <a:extLst>
              <a:ext uri="{FF2B5EF4-FFF2-40B4-BE49-F238E27FC236}">
                <a16:creationId xmlns:a16="http://schemas.microsoft.com/office/drawing/2014/main" id="{0ADD0B77-25AB-460F-A9F1-D9C0C53570AF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194310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67" name="Line 4">
            <a:extLst>
              <a:ext uri="{FF2B5EF4-FFF2-40B4-BE49-F238E27FC236}">
                <a16:creationId xmlns:a16="http://schemas.microsoft.com/office/drawing/2014/main" id="{ED283CD2-308D-44E6-8EFA-563A3B549E43}"/>
              </a:ext>
            </a:extLst>
          </xdr:cNvPr>
          <xdr:cNvSpPr>
            <a:spLocks noChangeShapeType="1"/>
          </xdr:cNvSpPr>
        </xdr:nvSpPr>
        <xdr:spPr bwMode="auto">
          <a:xfrm>
            <a:off x="1133469" y="197358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68" name="Line 5">
            <a:extLst>
              <a:ext uri="{FF2B5EF4-FFF2-40B4-BE49-F238E27FC236}">
                <a16:creationId xmlns:a16="http://schemas.microsoft.com/office/drawing/2014/main" id="{AFDC2725-8CF0-4B79-955A-302A4A2C219F}"/>
              </a:ext>
            </a:extLst>
          </xdr:cNvPr>
          <xdr:cNvSpPr>
            <a:spLocks noChangeShapeType="1"/>
          </xdr:cNvSpPr>
        </xdr:nvSpPr>
        <xdr:spPr bwMode="auto">
          <a:xfrm>
            <a:off x="1081082" y="19859627"/>
            <a:ext cx="205263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69" name="Line 6">
            <a:extLst>
              <a:ext uri="{FF2B5EF4-FFF2-40B4-BE49-F238E27FC236}">
                <a16:creationId xmlns:a16="http://schemas.microsoft.com/office/drawing/2014/main" id="{44EF7859-8624-4C75-A9C4-E8CDCFAD2B1C}"/>
              </a:ext>
            </a:extLst>
          </xdr:cNvPr>
          <xdr:cNvSpPr>
            <a:spLocks noChangeShapeType="1"/>
          </xdr:cNvSpPr>
        </xdr:nvSpPr>
        <xdr:spPr bwMode="auto">
          <a:xfrm>
            <a:off x="2105019" y="197453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0" name="Line 7">
            <a:extLst>
              <a:ext uri="{FF2B5EF4-FFF2-40B4-BE49-F238E27FC236}">
                <a16:creationId xmlns:a16="http://schemas.microsoft.com/office/drawing/2014/main" id="{A52EFEBF-9354-45E2-8359-CF0CBC15F48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0606" y="198262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1" name="Line 8">
            <a:extLst>
              <a:ext uri="{FF2B5EF4-FFF2-40B4-BE49-F238E27FC236}">
                <a16:creationId xmlns:a16="http://schemas.microsoft.com/office/drawing/2014/main" id="{4E88C720-7D68-41D6-9B86-0C9F14B8CF22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0" y="198215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2" name="Line 9">
            <a:extLst>
              <a:ext uri="{FF2B5EF4-FFF2-40B4-BE49-F238E27FC236}">
                <a16:creationId xmlns:a16="http://schemas.microsoft.com/office/drawing/2014/main" id="{ABCC1004-9AFF-4254-805F-ACA96C6765AE}"/>
              </a:ext>
            </a:extLst>
          </xdr:cNvPr>
          <xdr:cNvSpPr>
            <a:spLocks noChangeShapeType="1"/>
          </xdr:cNvSpPr>
        </xdr:nvSpPr>
        <xdr:spPr bwMode="auto">
          <a:xfrm>
            <a:off x="1619244" y="197453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3" name="Line 10">
            <a:extLst>
              <a:ext uri="{FF2B5EF4-FFF2-40B4-BE49-F238E27FC236}">
                <a16:creationId xmlns:a16="http://schemas.microsoft.com/office/drawing/2014/main" id="{8E7C4E02-2DD4-4777-9FB4-64F52899D412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0670" y="198262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4" name="Line 6">
            <a:extLst>
              <a:ext uri="{FF2B5EF4-FFF2-40B4-BE49-F238E27FC236}">
                <a16:creationId xmlns:a16="http://schemas.microsoft.com/office/drawing/2014/main" id="{5C40C285-48E5-458C-A6A0-B4BEC8D6F937}"/>
              </a:ext>
            </a:extLst>
          </xdr:cNvPr>
          <xdr:cNvSpPr>
            <a:spLocks noChangeShapeType="1"/>
          </xdr:cNvSpPr>
        </xdr:nvSpPr>
        <xdr:spPr bwMode="auto">
          <a:xfrm>
            <a:off x="2590791" y="197453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5" name="Line 8">
            <a:extLst>
              <a:ext uri="{FF2B5EF4-FFF2-40B4-BE49-F238E27FC236}">
                <a16:creationId xmlns:a16="http://schemas.microsoft.com/office/drawing/2014/main" id="{BFAF3567-F423-4AAF-BDB7-4C0CB65F5308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692" y="198215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6" name="Line 6">
            <a:extLst>
              <a:ext uri="{FF2B5EF4-FFF2-40B4-BE49-F238E27FC236}">
                <a16:creationId xmlns:a16="http://schemas.microsoft.com/office/drawing/2014/main" id="{8A3AAAF5-D17C-442A-988F-442A850FCDF1}"/>
              </a:ext>
            </a:extLst>
          </xdr:cNvPr>
          <xdr:cNvSpPr>
            <a:spLocks noChangeShapeType="1"/>
          </xdr:cNvSpPr>
        </xdr:nvSpPr>
        <xdr:spPr bwMode="auto">
          <a:xfrm>
            <a:off x="3076570" y="197453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7" name="Line 8">
            <a:extLst>
              <a:ext uri="{FF2B5EF4-FFF2-40B4-BE49-F238E27FC236}">
                <a16:creationId xmlns:a16="http://schemas.microsoft.com/office/drawing/2014/main" id="{EDD7FE6A-2E10-4DD7-A046-56F2F49A3415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1" y="198215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6</xdr:col>
      <xdr:colOff>109541</xdr:colOff>
      <xdr:row>140</xdr:row>
      <xdr:rowOff>0</xdr:rowOff>
    </xdr:from>
    <xdr:to>
      <xdr:col>19</xdr:col>
      <xdr:colOff>57150</xdr:colOff>
      <xdr:row>143</xdr:row>
      <xdr:rowOff>61914</xdr:rowOff>
    </xdr:to>
    <xdr:grpSp>
      <xdr:nvGrpSpPr>
        <xdr:cNvPr id="39" name="Group 38">
          <a:extLst>
            <a:ext uri="{FF2B5EF4-FFF2-40B4-BE49-F238E27FC236}">
              <a16:creationId xmlns:a16="http://schemas.microsoft.com/office/drawing/2014/main" id="{F9676F66-6289-4728-B006-55944967315C}"/>
            </a:ext>
          </a:extLst>
        </xdr:cNvPr>
        <xdr:cNvGrpSpPr/>
      </xdr:nvGrpSpPr>
      <xdr:grpSpPr>
        <a:xfrm>
          <a:off x="1081091" y="20583525"/>
          <a:ext cx="2052634" cy="490539"/>
          <a:chOff x="1081091" y="20583525"/>
          <a:chExt cx="2052634" cy="490539"/>
        </a:xfrm>
      </xdr:grpSpPr>
      <xdr:sp macro="" textlink="">
        <xdr:nvSpPr>
          <xdr:cNvPr id="190" name="AutoShape 300">
            <a:extLst>
              <a:ext uri="{FF2B5EF4-FFF2-40B4-BE49-F238E27FC236}">
                <a16:creationId xmlns:a16="http://schemas.microsoft.com/office/drawing/2014/main" id="{40E47CD8-5720-48E4-B92A-BA80A309BE94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205835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1" name="AutoShape 301">
            <a:extLst>
              <a:ext uri="{FF2B5EF4-FFF2-40B4-BE49-F238E27FC236}">
                <a16:creationId xmlns:a16="http://schemas.microsoft.com/office/drawing/2014/main" id="{E7B5DCB3-9532-4DFD-BECB-5529D465C8D4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205835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92" name="AutoShape 302">
            <a:extLst>
              <a:ext uri="{FF2B5EF4-FFF2-40B4-BE49-F238E27FC236}">
                <a16:creationId xmlns:a16="http://schemas.microsoft.com/office/drawing/2014/main" id="{FB9734FC-B4A8-480C-AF13-E920B46D880C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20593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0" name="AutoShape 310">
            <a:extLst>
              <a:ext uri="{FF2B5EF4-FFF2-40B4-BE49-F238E27FC236}">
                <a16:creationId xmlns:a16="http://schemas.microsoft.com/office/drawing/2014/main" id="{E792AE78-FD5A-4213-A2A4-1623EB227905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205835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3" name="AutoShape 313">
            <a:extLst>
              <a:ext uri="{FF2B5EF4-FFF2-40B4-BE49-F238E27FC236}">
                <a16:creationId xmlns:a16="http://schemas.microsoft.com/office/drawing/2014/main" id="{7C62C090-68D2-439B-85E1-376ECB55CB52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205835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78" name="Line 4">
            <a:extLst>
              <a:ext uri="{FF2B5EF4-FFF2-40B4-BE49-F238E27FC236}">
                <a16:creationId xmlns:a16="http://schemas.microsoft.com/office/drawing/2014/main" id="{8A4570D5-C8C4-40E9-878F-2C505A95E857}"/>
              </a:ext>
            </a:extLst>
          </xdr:cNvPr>
          <xdr:cNvSpPr>
            <a:spLocks noChangeShapeType="1"/>
          </xdr:cNvSpPr>
        </xdr:nvSpPr>
        <xdr:spPr bwMode="auto">
          <a:xfrm>
            <a:off x="1133478" y="20888326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79" name="Line 5">
            <a:extLst>
              <a:ext uri="{FF2B5EF4-FFF2-40B4-BE49-F238E27FC236}">
                <a16:creationId xmlns:a16="http://schemas.microsoft.com/office/drawing/2014/main" id="{B58797D7-007E-42D9-B4F1-096BB8BD63B9}"/>
              </a:ext>
            </a:extLst>
          </xdr:cNvPr>
          <xdr:cNvSpPr>
            <a:spLocks noChangeShapeType="1"/>
          </xdr:cNvSpPr>
        </xdr:nvSpPr>
        <xdr:spPr bwMode="auto">
          <a:xfrm>
            <a:off x="1081091" y="21012151"/>
            <a:ext cx="205263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0" name="Line 6">
            <a:extLst>
              <a:ext uri="{FF2B5EF4-FFF2-40B4-BE49-F238E27FC236}">
                <a16:creationId xmlns:a16="http://schemas.microsoft.com/office/drawing/2014/main" id="{538107B8-5AB2-43FA-8105-EFA36B4D0AE3}"/>
              </a:ext>
            </a:extLst>
          </xdr:cNvPr>
          <xdr:cNvSpPr>
            <a:spLocks noChangeShapeType="1"/>
          </xdr:cNvSpPr>
        </xdr:nvSpPr>
        <xdr:spPr bwMode="auto">
          <a:xfrm>
            <a:off x="2105028" y="20897851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1" name="Line 7">
            <a:extLst>
              <a:ext uri="{FF2B5EF4-FFF2-40B4-BE49-F238E27FC236}">
                <a16:creationId xmlns:a16="http://schemas.microsoft.com/office/drawing/2014/main" id="{D3C1CF48-96F4-4B21-B183-D1D963B2BEEA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0615" y="20978814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2" name="Line 8">
            <a:extLst>
              <a:ext uri="{FF2B5EF4-FFF2-40B4-BE49-F238E27FC236}">
                <a16:creationId xmlns:a16="http://schemas.microsoft.com/office/drawing/2014/main" id="{7268FACC-639A-4AB9-8F32-FB34853464CB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9" y="20974050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3" name="Line 9">
            <a:extLst>
              <a:ext uri="{FF2B5EF4-FFF2-40B4-BE49-F238E27FC236}">
                <a16:creationId xmlns:a16="http://schemas.microsoft.com/office/drawing/2014/main" id="{CC5037D5-752E-419B-9811-85A1CA734DA1}"/>
              </a:ext>
            </a:extLst>
          </xdr:cNvPr>
          <xdr:cNvSpPr>
            <a:spLocks noChangeShapeType="1"/>
          </xdr:cNvSpPr>
        </xdr:nvSpPr>
        <xdr:spPr bwMode="auto">
          <a:xfrm>
            <a:off x="1619253" y="20897852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4" name="Line 10">
            <a:extLst>
              <a:ext uri="{FF2B5EF4-FFF2-40B4-BE49-F238E27FC236}">
                <a16:creationId xmlns:a16="http://schemas.microsoft.com/office/drawing/2014/main" id="{C3EC2258-55C7-4971-91E1-020715B36B4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0679" y="20978812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5" name="Line 6">
            <a:extLst>
              <a:ext uri="{FF2B5EF4-FFF2-40B4-BE49-F238E27FC236}">
                <a16:creationId xmlns:a16="http://schemas.microsoft.com/office/drawing/2014/main" id="{C81C9D62-F3AA-49BC-86D9-B6B0805B7FC0}"/>
              </a:ext>
            </a:extLst>
          </xdr:cNvPr>
          <xdr:cNvSpPr>
            <a:spLocks noChangeShapeType="1"/>
          </xdr:cNvSpPr>
        </xdr:nvSpPr>
        <xdr:spPr bwMode="auto">
          <a:xfrm>
            <a:off x="2590800" y="2089785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6" name="Line 8">
            <a:extLst>
              <a:ext uri="{FF2B5EF4-FFF2-40B4-BE49-F238E27FC236}">
                <a16:creationId xmlns:a16="http://schemas.microsoft.com/office/drawing/2014/main" id="{EC8B8842-AE85-405D-8966-895D41EC0E5C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1" y="2097405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7" name="Line 6">
            <a:extLst>
              <a:ext uri="{FF2B5EF4-FFF2-40B4-BE49-F238E27FC236}">
                <a16:creationId xmlns:a16="http://schemas.microsoft.com/office/drawing/2014/main" id="{B71FC683-8957-44C1-9120-404755C71989}"/>
              </a:ext>
            </a:extLst>
          </xdr:cNvPr>
          <xdr:cNvSpPr>
            <a:spLocks noChangeShapeType="1"/>
          </xdr:cNvSpPr>
        </xdr:nvSpPr>
        <xdr:spPr bwMode="auto">
          <a:xfrm>
            <a:off x="3076579" y="20897851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88" name="Line 8">
            <a:extLst>
              <a:ext uri="{FF2B5EF4-FFF2-40B4-BE49-F238E27FC236}">
                <a16:creationId xmlns:a16="http://schemas.microsoft.com/office/drawing/2014/main" id="{9FC0C26C-B277-4C73-AC8B-1D128B2E0F6E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80" y="20974050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6</xdr:col>
      <xdr:colOff>109541</xdr:colOff>
      <xdr:row>150</xdr:row>
      <xdr:rowOff>0</xdr:rowOff>
    </xdr:from>
    <xdr:to>
      <xdr:col>19</xdr:col>
      <xdr:colOff>57150</xdr:colOff>
      <xdr:row>153</xdr:row>
      <xdr:rowOff>61915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81CF9DC2-3E75-4BD5-9603-6C668899CBB1}"/>
            </a:ext>
          </a:extLst>
        </xdr:cNvPr>
        <xdr:cNvGrpSpPr/>
      </xdr:nvGrpSpPr>
      <xdr:grpSpPr>
        <a:xfrm>
          <a:off x="1081091" y="22021800"/>
          <a:ext cx="2052634" cy="490540"/>
          <a:chOff x="1081091" y="22021800"/>
          <a:chExt cx="2052634" cy="490540"/>
        </a:xfrm>
      </xdr:grpSpPr>
      <xdr:sp macro="" textlink="">
        <xdr:nvSpPr>
          <xdr:cNvPr id="206" name="AutoShape 316">
            <a:extLst>
              <a:ext uri="{FF2B5EF4-FFF2-40B4-BE49-F238E27FC236}">
                <a16:creationId xmlns:a16="http://schemas.microsoft.com/office/drawing/2014/main" id="{DA9DAD94-8F2B-41DE-9CD2-BEECADE8DE12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220218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7" name="AutoShape 317">
            <a:extLst>
              <a:ext uri="{FF2B5EF4-FFF2-40B4-BE49-F238E27FC236}">
                <a16:creationId xmlns:a16="http://schemas.microsoft.com/office/drawing/2014/main" id="{A14B147F-2332-4BEB-80DC-56E04C9245E9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220218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8" name="AutoShape 318">
            <a:extLst>
              <a:ext uri="{FF2B5EF4-FFF2-40B4-BE49-F238E27FC236}">
                <a16:creationId xmlns:a16="http://schemas.microsoft.com/office/drawing/2014/main" id="{7E28548E-E0BF-4F63-8B49-BACD78A3B41F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220313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16" name="AutoShape 326">
            <a:extLst>
              <a:ext uri="{FF2B5EF4-FFF2-40B4-BE49-F238E27FC236}">
                <a16:creationId xmlns:a16="http://schemas.microsoft.com/office/drawing/2014/main" id="{D6051E3E-9B52-48C9-85A7-407E8456310D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220218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19" name="AutoShape 329">
            <a:extLst>
              <a:ext uri="{FF2B5EF4-FFF2-40B4-BE49-F238E27FC236}">
                <a16:creationId xmlns:a16="http://schemas.microsoft.com/office/drawing/2014/main" id="{0F375135-2066-4072-B7FF-ED276AB08D6D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220218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89" name="Line 4">
            <a:extLst>
              <a:ext uri="{FF2B5EF4-FFF2-40B4-BE49-F238E27FC236}">
                <a16:creationId xmlns:a16="http://schemas.microsoft.com/office/drawing/2014/main" id="{1A7BB460-360D-451C-93A1-BBB442AC717D}"/>
              </a:ext>
            </a:extLst>
          </xdr:cNvPr>
          <xdr:cNvSpPr>
            <a:spLocks noChangeShapeType="1"/>
          </xdr:cNvSpPr>
        </xdr:nvSpPr>
        <xdr:spPr bwMode="auto">
          <a:xfrm>
            <a:off x="1133478" y="223266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0" name="Line 5">
            <a:extLst>
              <a:ext uri="{FF2B5EF4-FFF2-40B4-BE49-F238E27FC236}">
                <a16:creationId xmlns:a16="http://schemas.microsoft.com/office/drawing/2014/main" id="{8952863A-ABD7-4839-A68A-57F32DADB025}"/>
              </a:ext>
            </a:extLst>
          </xdr:cNvPr>
          <xdr:cNvSpPr>
            <a:spLocks noChangeShapeType="1"/>
          </xdr:cNvSpPr>
        </xdr:nvSpPr>
        <xdr:spPr bwMode="auto">
          <a:xfrm>
            <a:off x="1081091" y="22450427"/>
            <a:ext cx="205263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1" name="Line 6">
            <a:extLst>
              <a:ext uri="{FF2B5EF4-FFF2-40B4-BE49-F238E27FC236}">
                <a16:creationId xmlns:a16="http://schemas.microsoft.com/office/drawing/2014/main" id="{46BCA455-C029-4903-8A02-65AB4600ECB1}"/>
              </a:ext>
            </a:extLst>
          </xdr:cNvPr>
          <xdr:cNvSpPr>
            <a:spLocks noChangeShapeType="1"/>
          </xdr:cNvSpPr>
        </xdr:nvSpPr>
        <xdr:spPr bwMode="auto">
          <a:xfrm>
            <a:off x="2105028" y="223361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2" name="Line 7">
            <a:extLst>
              <a:ext uri="{FF2B5EF4-FFF2-40B4-BE49-F238E27FC236}">
                <a16:creationId xmlns:a16="http://schemas.microsoft.com/office/drawing/2014/main" id="{CC4EDE8D-8A42-4F87-B3E2-1C342418ECE5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0615" y="224170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3" name="Line 8">
            <a:extLst>
              <a:ext uri="{FF2B5EF4-FFF2-40B4-BE49-F238E27FC236}">
                <a16:creationId xmlns:a16="http://schemas.microsoft.com/office/drawing/2014/main" id="{DB81F10D-3C02-48ED-BED8-F5CD1F9CE8F2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9" y="224123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4" name="Line 9">
            <a:extLst>
              <a:ext uri="{FF2B5EF4-FFF2-40B4-BE49-F238E27FC236}">
                <a16:creationId xmlns:a16="http://schemas.microsoft.com/office/drawing/2014/main" id="{D241EA7B-348A-4713-B830-96A9F401870F}"/>
              </a:ext>
            </a:extLst>
          </xdr:cNvPr>
          <xdr:cNvSpPr>
            <a:spLocks noChangeShapeType="1"/>
          </xdr:cNvSpPr>
        </xdr:nvSpPr>
        <xdr:spPr bwMode="auto">
          <a:xfrm>
            <a:off x="1619253" y="223361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5" name="Line 10">
            <a:extLst>
              <a:ext uri="{FF2B5EF4-FFF2-40B4-BE49-F238E27FC236}">
                <a16:creationId xmlns:a16="http://schemas.microsoft.com/office/drawing/2014/main" id="{F3F0D43E-2AB1-4799-AFD1-8D84761B8392}"/>
              </a:ext>
            </a:extLst>
          </xdr:cNvPr>
          <xdr:cNvSpPr>
            <a:spLocks noChangeShapeType="1"/>
          </xdr:cNvSpPr>
        </xdr:nvSpPr>
        <xdr:spPr bwMode="auto">
          <a:xfrm flipH="1">
            <a:off x="1590679" y="224170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6" name="Line 6">
            <a:extLst>
              <a:ext uri="{FF2B5EF4-FFF2-40B4-BE49-F238E27FC236}">
                <a16:creationId xmlns:a16="http://schemas.microsoft.com/office/drawing/2014/main" id="{31E4DB77-2958-4504-8320-49FB139166B7}"/>
              </a:ext>
            </a:extLst>
          </xdr:cNvPr>
          <xdr:cNvSpPr>
            <a:spLocks noChangeShapeType="1"/>
          </xdr:cNvSpPr>
        </xdr:nvSpPr>
        <xdr:spPr bwMode="auto">
          <a:xfrm>
            <a:off x="2590800" y="223361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7" name="Line 8">
            <a:extLst>
              <a:ext uri="{FF2B5EF4-FFF2-40B4-BE49-F238E27FC236}">
                <a16:creationId xmlns:a16="http://schemas.microsoft.com/office/drawing/2014/main" id="{1A8BBB83-E799-4173-B8FD-544F2DDA85DB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1" y="224123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8" name="Line 6">
            <a:extLst>
              <a:ext uri="{FF2B5EF4-FFF2-40B4-BE49-F238E27FC236}">
                <a16:creationId xmlns:a16="http://schemas.microsoft.com/office/drawing/2014/main" id="{A1756AB3-5E82-4BB9-BAE4-239E92E85DD9}"/>
              </a:ext>
            </a:extLst>
          </xdr:cNvPr>
          <xdr:cNvSpPr>
            <a:spLocks noChangeShapeType="1"/>
          </xdr:cNvSpPr>
        </xdr:nvSpPr>
        <xdr:spPr bwMode="auto">
          <a:xfrm>
            <a:off x="3076579" y="223361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99" name="Line 8">
            <a:extLst>
              <a:ext uri="{FF2B5EF4-FFF2-40B4-BE49-F238E27FC236}">
                <a16:creationId xmlns:a16="http://schemas.microsoft.com/office/drawing/2014/main" id="{A45E1812-4CAC-4679-ACE9-BF7C6A0A135D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80" y="224123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109535</xdr:colOff>
      <xdr:row>160</xdr:row>
      <xdr:rowOff>0</xdr:rowOff>
    </xdr:from>
    <xdr:to>
      <xdr:col>19</xdr:col>
      <xdr:colOff>61912</xdr:colOff>
      <xdr:row>163</xdr:row>
      <xdr:rowOff>61915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EE15A6A5-A500-4216-AD68-7E398FA50BA8}"/>
            </a:ext>
          </a:extLst>
        </xdr:cNvPr>
        <xdr:cNvGrpSpPr/>
      </xdr:nvGrpSpPr>
      <xdr:grpSpPr>
        <a:xfrm>
          <a:off x="595310" y="23469600"/>
          <a:ext cx="2543177" cy="490540"/>
          <a:chOff x="595310" y="23469600"/>
          <a:chExt cx="2543177" cy="490540"/>
        </a:xfrm>
      </xdr:grpSpPr>
      <xdr:sp macro="" textlink="">
        <xdr:nvSpPr>
          <xdr:cNvPr id="222" name="AutoShape 332">
            <a:extLst>
              <a:ext uri="{FF2B5EF4-FFF2-40B4-BE49-F238E27FC236}">
                <a16:creationId xmlns:a16="http://schemas.microsoft.com/office/drawing/2014/main" id="{1367E10A-E808-47DA-85C1-F9B5F1B46CC0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234696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23" name="AutoShape 333">
            <a:extLst>
              <a:ext uri="{FF2B5EF4-FFF2-40B4-BE49-F238E27FC236}">
                <a16:creationId xmlns:a16="http://schemas.microsoft.com/office/drawing/2014/main" id="{DED9BC96-5770-4244-9116-890C47132E86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234696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24" name="AutoShape 334">
            <a:extLst>
              <a:ext uri="{FF2B5EF4-FFF2-40B4-BE49-F238E27FC236}">
                <a16:creationId xmlns:a16="http://schemas.microsoft.com/office/drawing/2014/main" id="{1F18C8D4-AF88-4DDD-A016-CE5962D4D3C0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234791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32" name="AutoShape 342">
            <a:extLst>
              <a:ext uri="{FF2B5EF4-FFF2-40B4-BE49-F238E27FC236}">
                <a16:creationId xmlns:a16="http://schemas.microsoft.com/office/drawing/2014/main" id="{4E982294-6AB0-41E6-A2C2-28E271C1FB5D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234696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35" name="AutoShape 345">
            <a:extLst>
              <a:ext uri="{FF2B5EF4-FFF2-40B4-BE49-F238E27FC236}">
                <a16:creationId xmlns:a16="http://schemas.microsoft.com/office/drawing/2014/main" id="{3C1A73B1-9568-4F31-9226-7A8ACAB65EB1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234696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38" name="AutoShape 348">
            <a:extLst>
              <a:ext uri="{FF2B5EF4-FFF2-40B4-BE49-F238E27FC236}">
                <a16:creationId xmlns:a16="http://schemas.microsoft.com/office/drawing/2014/main" id="{9FE04216-183C-4092-821F-3296324049A8}"/>
              </a:ext>
            </a:extLst>
          </xdr:cNvPr>
          <xdr:cNvSpPr>
            <a:spLocks noChangeArrowheads="1"/>
          </xdr:cNvSpPr>
        </xdr:nvSpPr>
        <xdr:spPr bwMode="auto">
          <a:xfrm>
            <a:off x="609599" y="234696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00" name="Line 4">
            <a:extLst>
              <a:ext uri="{FF2B5EF4-FFF2-40B4-BE49-F238E27FC236}">
                <a16:creationId xmlns:a16="http://schemas.microsoft.com/office/drawing/2014/main" id="{107E5F4A-D1CE-46A6-9968-4FDC28207C0B}"/>
              </a:ext>
            </a:extLst>
          </xdr:cNvPr>
          <xdr:cNvSpPr>
            <a:spLocks noChangeShapeType="1"/>
          </xdr:cNvSpPr>
        </xdr:nvSpPr>
        <xdr:spPr bwMode="auto">
          <a:xfrm>
            <a:off x="647698" y="237744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1" name="Line 5">
            <a:extLst>
              <a:ext uri="{FF2B5EF4-FFF2-40B4-BE49-F238E27FC236}">
                <a16:creationId xmlns:a16="http://schemas.microsoft.com/office/drawing/2014/main" id="{3FE3FF5F-8CB9-4FB7-B846-D1E9910752B0}"/>
              </a:ext>
            </a:extLst>
          </xdr:cNvPr>
          <xdr:cNvSpPr>
            <a:spLocks noChangeShapeType="1"/>
          </xdr:cNvSpPr>
        </xdr:nvSpPr>
        <xdr:spPr bwMode="auto">
          <a:xfrm>
            <a:off x="595310" y="23898227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2" name="Line 6">
            <a:extLst>
              <a:ext uri="{FF2B5EF4-FFF2-40B4-BE49-F238E27FC236}">
                <a16:creationId xmlns:a16="http://schemas.microsoft.com/office/drawing/2014/main" id="{7CE2A56F-EEAA-4067-BC7D-701C3E22EC0B}"/>
              </a:ext>
            </a:extLst>
          </xdr:cNvPr>
          <xdr:cNvSpPr>
            <a:spLocks noChangeShapeType="1"/>
          </xdr:cNvSpPr>
        </xdr:nvSpPr>
        <xdr:spPr bwMode="auto">
          <a:xfrm>
            <a:off x="1619248" y="237839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3" name="Line 7">
            <a:extLst>
              <a:ext uri="{FF2B5EF4-FFF2-40B4-BE49-F238E27FC236}">
                <a16:creationId xmlns:a16="http://schemas.microsoft.com/office/drawing/2014/main" id="{FE0FAED7-79A8-4867-8C8E-E6B02284ECD3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35" y="238648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4" name="Line 8">
            <a:extLst>
              <a:ext uri="{FF2B5EF4-FFF2-40B4-BE49-F238E27FC236}">
                <a16:creationId xmlns:a16="http://schemas.microsoft.com/office/drawing/2014/main" id="{256EB919-E1D8-49DC-B849-48638F840856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49" y="238601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5" name="Line 9">
            <a:extLst>
              <a:ext uri="{FF2B5EF4-FFF2-40B4-BE49-F238E27FC236}">
                <a16:creationId xmlns:a16="http://schemas.microsoft.com/office/drawing/2014/main" id="{14D7306E-2EEC-42DD-B6C6-54DA39550A51}"/>
              </a:ext>
            </a:extLst>
          </xdr:cNvPr>
          <xdr:cNvSpPr>
            <a:spLocks noChangeShapeType="1"/>
          </xdr:cNvSpPr>
        </xdr:nvSpPr>
        <xdr:spPr bwMode="auto">
          <a:xfrm>
            <a:off x="1133473" y="237839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6" name="Line 10">
            <a:extLst>
              <a:ext uri="{FF2B5EF4-FFF2-40B4-BE49-F238E27FC236}">
                <a16:creationId xmlns:a16="http://schemas.microsoft.com/office/drawing/2014/main" id="{77A2FA4A-939A-4F00-A920-F6EF8E8E1602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899" y="238648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7" name="Line 6">
            <a:extLst>
              <a:ext uri="{FF2B5EF4-FFF2-40B4-BE49-F238E27FC236}">
                <a16:creationId xmlns:a16="http://schemas.microsoft.com/office/drawing/2014/main" id="{6967CBE7-FC84-42A3-8FBB-B511E435DCF3}"/>
              </a:ext>
            </a:extLst>
          </xdr:cNvPr>
          <xdr:cNvSpPr>
            <a:spLocks noChangeShapeType="1"/>
          </xdr:cNvSpPr>
        </xdr:nvSpPr>
        <xdr:spPr bwMode="auto">
          <a:xfrm>
            <a:off x="2105020" y="237839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8" name="Line 8">
            <a:extLst>
              <a:ext uri="{FF2B5EF4-FFF2-40B4-BE49-F238E27FC236}">
                <a16:creationId xmlns:a16="http://schemas.microsoft.com/office/drawing/2014/main" id="{96694468-B918-435C-80A1-2E9AFBC1A0F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1" y="238601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09" name="Line 6">
            <a:extLst>
              <a:ext uri="{FF2B5EF4-FFF2-40B4-BE49-F238E27FC236}">
                <a16:creationId xmlns:a16="http://schemas.microsoft.com/office/drawing/2014/main" id="{9392C608-1983-4E64-821E-8DFB3F6358CD}"/>
              </a:ext>
            </a:extLst>
          </xdr:cNvPr>
          <xdr:cNvSpPr>
            <a:spLocks noChangeShapeType="1"/>
          </xdr:cNvSpPr>
        </xdr:nvSpPr>
        <xdr:spPr bwMode="auto">
          <a:xfrm>
            <a:off x="2590799" y="237839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0" name="Line 8">
            <a:extLst>
              <a:ext uri="{FF2B5EF4-FFF2-40B4-BE49-F238E27FC236}">
                <a16:creationId xmlns:a16="http://schemas.microsoft.com/office/drawing/2014/main" id="{CD0C3B77-9726-45AD-BB9D-7011D4EC91FE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0" y="238601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1" name="Line 6">
            <a:extLst>
              <a:ext uri="{FF2B5EF4-FFF2-40B4-BE49-F238E27FC236}">
                <a16:creationId xmlns:a16="http://schemas.microsoft.com/office/drawing/2014/main" id="{0335911E-1E8C-45DD-8835-013A782CD580}"/>
              </a:ext>
            </a:extLst>
          </xdr:cNvPr>
          <xdr:cNvSpPr>
            <a:spLocks noChangeShapeType="1"/>
          </xdr:cNvSpPr>
        </xdr:nvSpPr>
        <xdr:spPr bwMode="auto">
          <a:xfrm>
            <a:off x="3076577" y="2378392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2" name="Line 8">
            <a:extLst>
              <a:ext uri="{FF2B5EF4-FFF2-40B4-BE49-F238E27FC236}">
                <a16:creationId xmlns:a16="http://schemas.microsoft.com/office/drawing/2014/main" id="{150CFDA5-2546-458E-B8A5-BB53002C43E2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8" y="2386012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109535</xdr:colOff>
      <xdr:row>175</xdr:row>
      <xdr:rowOff>0</xdr:rowOff>
    </xdr:from>
    <xdr:to>
      <xdr:col>19</xdr:col>
      <xdr:colOff>61912</xdr:colOff>
      <xdr:row>178</xdr:row>
      <xdr:rowOff>61915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25A6B4CC-9410-4165-BA86-11772FCE3208}"/>
            </a:ext>
          </a:extLst>
        </xdr:cNvPr>
        <xdr:cNvGrpSpPr/>
      </xdr:nvGrpSpPr>
      <xdr:grpSpPr>
        <a:xfrm>
          <a:off x="595310" y="25622250"/>
          <a:ext cx="2543177" cy="490540"/>
          <a:chOff x="595310" y="25622250"/>
          <a:chExt cx="2543177" cy="490540"/>
        </a:xfrm>
      </xdr:grpSpPr>
      <xdr:sp macro="" textlink="">
        <xdr:nvSpPr>
          <xdr:cNvPr id="241" name="AutoShape 351">
            <a:extLst>
              <a:ext uri="{FF2B5EF4-FFF2-40B4-BE49-F238E27FC236}">
                <a16:creationId xmlns:a16="http://schemas.microsoft.com/office/drawing/2014/main" id="{CD8D8813-DFD7-4CC2-A956-D3EB982664F7}"/>
              </a:ext>
            </a:extLst>
          </xdr:cNvPr>
          <xdr:cNvSpPr>
            <a:spLocks noChangeArrowheads="1"/>
          </xdr:cNvSpPr>
        </xdr:nvSpPr>
        <xdr:spPr bwMode="auto">
          <a:xfrm>
            <a:off x="2062161" y="256222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2" name="AutoShape 352">
            <a:extLst>
              <a:ext uri="{FF2B5EF4-FFF2-40B4-BE49-F238E27FC236}">
                <a16:creationId xmlns:a16="http://schemas.microsoft.com/office/drawing/2014/main" id="{703218B5-C7CA-4CDD-B7DC-4FF2DB4209A3}"/>
              </a:ext>
            </a:extLst>
          </xdr:cNvPr>
          <xdr:cNvSpPr>
            <a:spLocks noChangeArrowheads="1"/>
          </xdr:cNvSpPr>
        </xdr:nvSpPr>
        <xdr:spPr bwMode="auto">
          <a:xfrm>
            <a:off x="2547936" y="256222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3" name="AutoShape 353">
            <a:extLst>
              <a:ext uri="{FF2B5EF4-FFF2-40B4-BE49-F238E27FC236}">
                <a16:creationId xmlns:a16="http://schemas.microsoft.com/office/drawing/2014/main" id="{4EAFA14F-AC6D-4281-998D-23F1A71E1B68}"/>
              </a:ext>
            </a:extLst>
          </xdr:cNvPr>
          <xdr:cNvSpPr>
            <a:spLocks noChangeArrowheads="1"/>
          </xdr:cNvSpPr>
        </xdr:nvSpPr>
        <xdr:spPr bwMode="auto">
          <a:xfrm>
            <a:off x="3033711" y="256317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51" name="AutoShape 361">
            <a:extLst>
              <a:ext uri="{FF2B5EF4-FFF2-40B4-BE49-F238E27FC236}">
                <a16:creationId xmlns:a16="http://schemas.microsoft.com/office/drawing/2014/main" id="{379B3530-531C-48E7-B453-D293C34A99B3}"/>
              </a:ext>
            </a:extLst>
          </xdr:cNvPr>
          <xdr:cNvSpPr>
            <a:spLocks noChangeArrowheads="1"/>
          </xdr:cNvSpPr>
        </xdr:nvSpPr>
        <xdr:spPr bwMode="auto">
          <a:xfrm>
            <a:off x="1576386" y="256222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54" name="AutoShape 364">
            <a:extLst>
              <a:ext uri="{FF2B5EF4-FFF2-40B4-BE49-F238E27FC236}">
                <a16:creationId xmlns:a16="http://schemas.microsoft.com/office/drawing/2014/main" id="{149C36ED-A9D7-4B0A-9382-4B543D4F2460}"/>
              </a:ext>
            </a:extLst>
          </xdr:cNvPr>
          <xdr:cNvSpPr>
            <a:spLocks noChangeArrowheads="1"/>
          </xdr:cNvSpPr>
        </xdr:nvSpPr>
        <xdr:spPr bwMode="auto">
          <a:xfrm>
            <a:off x="1090611" y="256222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57" name="AutoShape 367">
            <a:extLst>
              <a:ext uri="{FF2B5EF4-FFF2-40B4-BE49-F238E27FC236}">
                <a16:creationId xmlns:a16="http://schemas.microsoft.com/office/drawing/2014/main" id="{D8BD7AAA-F859-4A1D-BBD8-4A9F0EE8EDC1}"/>
              </a:ext>
            </a:extLst>
          </xdr:cNvPr>
          <xdr:cNvSpPr>
            <a:spLocks noChangeArrowheads="1"/>
          </xdr:cNvSpPr>
        </xdr:nvSpPr>
        <xdr:spPr bwMode="auto">
          <a:xfrm>
            <a:off x="604836" y="256222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13" name="Line 4">
            <a:extLst>
              <a:ext uri="{FF2B5EF4-FFF2-40B4-BE49-F238E27FC236}">
                <a16:creationId xmlns:a16="http://schemas.microsoft.com/office/drawing/2014/main" id="{4E1C40CF-10D9-4F3D-9D75-6C78C478079B}"/>
              </a:ext>
            </a:extLst>
          </xdr:cNvPr>
          <xdr:cNvSpPr>
            <a:spLocks noChangeShapeType="1"/>
          </xdr:cNvSpPr>
        </xdr:nvSpPr>
        <xdr:spPr bwMode="auto">
          <a:xfrm>
            <a:off x="647698" y="2592705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4" name="Line 5">
            <a:extLst>
              <a:ext uri="{FF2B5EF4-FFF2-40B4-BE49-F238E27FC236}">
                <a16:creationId xmlns:a16="http://schemas.microsoft.com/office/drawing/2014/main" id="{81ECA4BD-F82C-480F-9572-5AAEB95D207A}"/>
              </a:ext>
            </a:extLst>
          </xdr:cNvPr>
          <xdr:cNvSpPr>
            <a:spLocks noChangeShapeType="1"/>
          </xdr:cNvSpPr>
        </xdr:nvSpPr>
        <xdr:spPr bwMode="auto">
          <a:xfrm>
            <a:off x="595310" y="26050877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5" name="Line 6">
            <a:extLst>
              <a:ext uri="{FF2B5EF4-FFF2-40B4-BE49-F238E27FC236}">
                <a16:creationId xmlns:a16="http://schemas.microsoft.com/office/drawing/2014/main" id="{6120EBA1-9A68-4A10-82AE-911E3BE36EA2}"/>
              </a:ext>
            </a:extLst>
          </xdr:cNvPr>
          <xdr:cNvSpPr>
            <a:spLocks noChangeShapeType="1"/>
          </xdr:cNvSpPr>
        </xdr:nvSpPr>
        <xdr:spPr bwMode="auto">
          <a:xfrm>
            <a:off x="1619248" y="2593657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6" name="Line 7">
            <a:extLst>
              <a:ext uri="{FF2B5EF4-FFF2-40B4-BE49-F238E27FC236}">
                <a16:creationId xmlns:a16="http://schemas.microsoft.com/office/drawing/2014/main" id="{11680B18-5E9F-45E0-94ED-4CD8985190B2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35" y="2601754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7" name="Line 8">
            <a:extLst>
              <a:ext uri="{FF2B5EF4-FFF2-40B4-BE49-F238E27FC236}">
                <a16:creationId xmlns:a16="http://schemas.microsoft.com/office/drawing/2014/main" id="{2EAB3497-9D04-467B-8B48-A8214A552A3E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49" y="2601277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8" name="Line 9">
            <a:extLst>
              <a:ext uri="{FF2B5EF4-FFF2-40B4-BE49-F238E27FC236}">
                <a16:creationId xmlns:a16="http://schemas.microsoft.com/office/drawing/2014/main" id="{27C16C5B-CC46-49A1-97F9-55CFED8CDFAB}"/>
              </a:ext>
            </a:extLst>
          </xdr:cNvPr>
          <xdr:cNvSpPr>
            <a:spLocks noChangeShapeType="1"/>
          </xdr:cNvSpPr>
        </xdr:nvSpPr>
        <xdr:spPr bwMode="auto">
          <a:xfrm>
            <a:off x="1133473" y="2593657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19" name="Line 10">
            <a:extLst>
              <a:ext uri="{FF2B5EF4-FFF2-40B4-BE49-F238E27FC236}">
                <a16:creationId xmlns:a16="http://schemas.microsoft.com/office/drawing/2014/main" id="{1A2E158B-68C2-4688-B4E9-357EDC800BF8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899" y="2601753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0" name="Line 6">
            <a:extLst>
              <a:ext uri="{FF2B5EF4-FFF2-40B4-BE49-F238E27FC236}">
                <a16:creationId xmlns:a16="http://schemas.microsoft.com/office/drawing/2014/main" id="{28D1DCD7-7F2B-40F2-9FA5-59E44D78DB09}"/>
              </a:ext>
            </a:extLst>
          </xdr:cNvPr>
          <xdr:cNvSpPr>
            <a:spLocks noChangeShapeType="1"/>
          </xdr:cNvSpPr>
        </xdr:nvSpPr>
        <xdr:spPr bwMode="auto">
          <a:xfrm>
            <a:off x="2105020" y="2593657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1" name="Line 8">
            <a:extLst>
              <a:ext uri="{FF2B5EF4-FFF2-40B4-BE49-F238E27FC236}">
                <a16:creationId xmlns:a16="http://schemas.microsoft.com/office/drawing/2014/main" id="{231C9088-3462-4EF7-A2B0-3750FA01058F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1" y="2601277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2" name="Line 6">
            <a:extLst>
              <a:ext uri="{FF2B5EF4-FFF2-40B4-BE49-F238E27FC236}">
                <a16:creationId xmlns:a16="http://schemas.microsoft.com/office/drawing/2014/main" id="{36327FA4-EF26-4C89-82A9-9AFD450F6489}"/>
              </a:ext>
            </a:extLst>
          </xdr:cNvPr>
          <xdr:cNvSpPr>
            <a:spLocks noChangeShapeType="1"/>
          </xdr:cNvSpPr>
        </xdr:nvSpPr>
        <xdr:spPr bwMode="auto">
          <a:xfrm>
            <a:off x="2590799" y="2593657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3" name="Line 8">
            <a:extLst>
              <a:ext uri="{FF2B5EF4-FFF2-40B4-BE49-F238E27FC236}">
                <a16:creationId xmlns:a16="http://schemas.microsoft.com/office/drawing/2014/main" id="{4EEE4E04-EDFE-49B8-A5C3-FC2F3776A992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0" y="2601277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4" name="Line 6">
            <a:extLst>
              <a:ext uri="{FF2B5EF4-FFF2-40B4-BE49-F238E27FC236}">
                <a16:creationId xmlns:a16="http://schemas.microsoft.com/office/drawing/2014/main" id="{DB07BD17-7B38-40EA-A6FF-3C19B5F555FF}"/>
              </a:ext>
            </a:extLst>
          </xdr:cNvPr>
          <xdr:cNvSpPr>
            <a:spLocks noChangeShapeType="1"/>
          </xdr:cNvSpPr>
        </xdr:nvSpPr>
        <xdr:spPr bwMode="auto">
          <a:xfrm>
            <a:off x="3076577" y="2593657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5" name="Line 8">
            <a:extLst>
              <a:ext uri="{FF2B5EF4-FFF2-40B4-BE49-F238E27FC236}">
                <a16:creationId xmlns:a16="http://schemas.microsoft.com/office/drawing/2014/main" id="{3B66B9E5-D288-40B7-98EE-811C33E07436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8" y="2601277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109541</xdr:colOff>
      <xdr:row>188</xdr:row>
      <xdr:rowOff>0</xdr:rowOff>
    </xdr:from>
    <xdr:to>
      <xdr:col>19</xdr:col>
      <xdr:colOff>61918</xdr:colOff>
      <xdr:row>191</xdr:row>
      <xdr:rowOff>61915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67CBD7B0-BE0F-4348-9096-436B8A2E65F6}"/>
            </a:ext>
          </a:extLst>
        </xdr:cNvPr>
        <xdr:cNvGrpSpPr/>
      </xdr:nvGrpSpPr>
      <xdr:grpSpPr>
        <a:xfrm>
          <a:off x="595316" y="27489150"/>
          <a:ext cx="2543177" cy="490540"/>
          <a:chOff x="595316" y="27489150"/>
          <a:chExt cx="2543177" cy="490540"/>
        </a:xfrm>
      </xdr:grpSpPr>
      <xdr:sp macro="" textlink="">
        <xdr:nvSpPr>
          <xdr:cNvPr id="260" name="AutoShape 370">
            <a:extLst>
              <a:ext uri="{FF2B5EF4-FFF2-40B4-BE49-F238E27FC236}">
                <a16:creationId xmlns:a16="http://schemas.microsoft.com/office/drawing/2014/main" id="{491B21CC-B3D1-4F3C-9E45-C27A8C8D7628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274891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61" name="AutoShape 371">
            <a:extLst>
              <a:ext uri="{FF2B5EF4-FFF2-40B4-BE49-F238E27FC236}">
                <a16:creationId xmlns:a16="http://schemas.microsoft.com/office/drawing/2014/main" id="{1A235E06-9C75-4F50-9B48-2C9F8FBC66DB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274891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62" name="AutoShape 372">
            <a:extLst>
              <a:ext uri="{FF2B5EF4-FFF2-40B4-BE49-F238E27FC236}">
                <a16:creationId xmlns:a16="http://schemas.microsoft.com/office/drawing/2014/main" id="{6FBB1598-94D3-4449-9E9E-8A92E12A644F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274986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0" name="AutoShape 380">
            <a:extLst>
              <a:ext uri="{FF2B5EF4-FFF2-40B4-BE49-F238E27FC236}">
                <a16:creationId xmlns:a16="http://schemas.microsoft.com/office/drawing/2014/main" id="{702F324E-7495-436C-8F49-0FD6B62E05CF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274891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3" name="AutoShape 383">
            <a:extLst>
              <a:ext uri="{FF2B5EF4-FFF2-40B4-BE49-F238E27FC236}">
                <a16:creationId xmlns:a16="http://schemas.microsoft.com/office/drawing/2014/main" id="{7E641EF6-13AE-4FEA-8CE9-5124E2E47404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274891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6" name="AutoShape 386">
            <a:extLst>
              <a:ext uri="{FF2B5EF4-FFF2-40B4-BE49-F238E27FC236}">
                <a16:creationId xmlns:a16="http://schemas.microsoft.com/office/drawing/2014/main" id="{E09BAF59-D039-4654-93C2-C7FC8BEA1B22}"/>
              </a:ext>
            </a:extLst>
          </xdr:cNvPr>
          <xdr:cNvSpPr>
            <a:spLocks noChangeArrowheads="1"/>
          </xdr:cNvSpPr>
        </xdr:nvSpPr>
        <xdr:spPr bwMode="auto">
          <a:xfrm>
            <a:off x="609599" y="274891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26" name="Line 4">
            <a:extLst>
              <a:ext uri="{FF2B5EF4-FFF2-40B4-BE49-F238E27FC236}">
                <a16:creationId xmlns:a16="http://schemas.microsoft.com/office/drawing/2014/main" id="{8E2FAE7D-F9FC-4658-B96D-8848C1BB9575}"/>
              </a:ext>
            </a:extLst>
          </xdr:cNvPr>
          <xdr:cNvSpPr>
            <a:spLocks noChangeShapeType="1"/>
          </xdr:cNvSpPr>
        </xdr:nvSpPr>
        <xdr:spPr bwMode="auto">
          <a:xfrm>
            <a:off x="647704" y="2779395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7" name="Line 5">
            <a:extLst>
              <a:ext uri="{FF2B5EF4-FFF2-40B4-BE49-F238E27FC236}">
                <a16:creationId xmlns:a16="http://schemas.microsoft.com/office/drawing/2014/main" id="{A2999AA1-2764-4326-8765-9B667BC1CBA0}"/>
              </a:ext>
            </a:extLst>
          </xdr:cNvPr>
          <xdr:cNvSpPr>
            <a:spLocks noChangeShapeType="1"/>
          </xdr:cNvSpPr>
        </xdr:nvSpPr>
        <xdr:spPr bwMode="auto">
          <a:xfrm>
            <a:off x="595316" y="27917777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8" name="Line 6">
            <a:extLst>
              <a:ext uri="{FF2B5EF4-FFF2-40B4-BE49-F238E27FC236}">
                <a16:creationId xmlns:a16="http://schemas.microsoft.com/office/drawing/2014/main" id="{A726F0C2-1DA8-4653-AF9C-10898D8992F0}"/>
              </a:ext>
            </a:extLst>
          </xdr:cNvPr>
          <xdr:cNvSpPr>
            <a:spLocks noChangeShapeType="1"/>
          </xdr:cNvSpPr>
        </xdr:nvSpPr>
        <xdr:spPr bwMode="auto">
          <a:xfrm>
            <a:off x="1619254" y="2780347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29" name="Line 7">
            <a:extLst>
              <a:ext uri="{FF2B5EF4-FFF2-40B4-BE49-F238E27FC236}">
                <a16:creationId xmlns:a16="http://schemas.microsoft.com/office/drawing/2014/main" id="{F439AE4C-C169-4517-8AFB-B538DFB19301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41" y="2788444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0" name="Line 8">
            <a:extLst>
              <a:ext uri="{FF2B5EF4-FFF2-40B4-BE49-F238E27FC236}">
                <a16:creationId xmlns:a16="http://schemas.microsoft.com/office/drawing/2014/main" id="{8476214C-71FB-4A2C-A77F-DAEAEAD19B79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55" y="2787967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1" name="Line 9">
            <a:extLst>
              <a:ext uri="{FF2B5EF4-FFF2-40B4-BE49-F238E27FC236}">
                <a16:creationId xmlns:a16="http://schemas.microsoft.com/office/drawing/2014/main" id="{3B61206D-B0D6-4AD7-A54A-055A9A77E44B}"/>
              </a:ext>
            </a:extLst>
          </xdr:cNvPr>
          <xdr:cNvSpPr>
            <a:spLocks noChangeShapeType="1"/>
          </xdr:cNvSpPr>
        </xdr:nvSpPr>
        <xdr:spPr bwMode="auto">
          <a:xfrm>
            <a:off x="1133479" y="2780347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2" name="Line 10">
            <a:extLst>
              <a:ext uri="{FF2B5EF4-FFF2-40B4-BE49-F238E27FC236}">
                <a16:creationId xmlns:a16="http://schemas.microsoft.com/office/drawing/2014/main" id="{1D67C3E0-AC35-4F0F-842A-51987827B8DB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905" y="2788443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3" name="Line 6">
            <a:extLst>
              <a:ext uri="{FF2B5EF4-FFF2-40B4-BE49-F238E27FC236}">
                <a16:creationId xmlns:a16="http://schemas.microsoft.com/office/drawing/2014/main" id="{8DF86758-B2B3-48DD-B19E-DA76C5F88304}"/>
              </a:ext>
            </a:extLst>
          </xdr:cNvPr>
          <xdr:cNvSpPr>
            <a:spLocks noChangeShapeType="1"/>
          </xdr:cNvSpPr>
        </xdr:nvSpPr>
        <xdr:spPr bwMode="auto">
          <a:xfrm>
            <a:off x="2105026" y="2780347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4" name="Line 8">
            <a:extLst>
              <a:ext uri="{FF2B5EF4-FFF2-40B4-BE49-F238E27FC236}">
                <a16:creationId xmlns:a16="http://schemas.microsoft.com/office/drawing/2014/main" id="{3D90D78F-DF80-48E6-9453-FA022F2B9B3D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7" y="2787967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5" name="Line 6">
            <a:extLst>
              <a:ext uri="{FF2B5EF4-FFF2-40B4-BE49-F238E27FC236}">
                <a16:creationId xmlns:a16="http://schemas.microsoft.com/office/drawing/2014/main" id="{E9FB76D4-20A0-4A25-978E-D0D85EB75011}"/>
              </a:ext>
            </a:extLst>
          </xdr:cNvPr>
          <xdr:cNvSpPr>
            <a:spLocks noChangeShapeType="1"/>
          </xdr:cNvSpPr>
        </xdr:nvSpPr>
        <xdr:spPr bwMode="auto">
          <a:xfrm>
            <a:off x="2590805" y="2780347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6" name="Line 8">
            <a:extLst>
              <a:ext uri="{FF2B5EF4-FFF2-40B4-BE49-F238E27FC236}">
                <a16:creationId xmlns:a16="http://schemas.microsoft.com/office/drawing/2014/main" id="{05D22E16-3F2B-4CEA-92EB-35E9158CAD70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6" y="2787967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7" name="Line 6">
            <a:extLst>
              <a:ext uri="{FF2B5EF4-FFF2-40B4-BE49-F238E27FC236}">
                <a16:creationId xmlns:a16="http://schemas.microsoft.com/office/drawing/2014/main" id="{E4E77E90-9CEB-4A2A-8E42-B27FCCAB3C22}"/>
              </a:ext>
            </a:extLst>
          </xdr:cNvPr>
          <xdr:cNvSpPr>
            <a:spLocks noChangeShapeType="1"/>
          </xdr:cNvSpPr>
        </xdr:nvSpPr>
        <xdr:spPr bwMode="auto">
          <a:xfrm>
            <a:off x="3076583" y="2780347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38" name="Line 8">
            <a:extLst>
              <a:ext uri="{FF2B5EF4-FFF2-40B4-BE49-F238E27FC236}">
                <a16:creationId xmlns:a16="http://schemas.microsoft.com/office/drawing/2014/main" id="{AAA700CD-A6BA-4806-ABD7-C53446C4554A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84" y="2787967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109541</xdr:colOff>
      <xdr:row>201</xdr:row>
      <xdr:rowOff>0</xdr:rowOff>
    </xdr:from>
    <xdr:to>
      <xdr:col>19</xdr:col>
      <xdr:colOff>61918</xdr:colOff>
      <xdr:row>204</xdr:row>
      <xdr:rowOff>61914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CB74CC32-C164-4369-97A3-05E3A00D64EA}"/>
            </a:ext>
          </a:extLst>
        </xdr:cNvPr>
        <xdr:cNvGrpSpPr/>
      </xdr:nvGrpSpPr>
      <xdr:grpSpPr>
        <a:xfrm>
          <a:off x="595316" y="29356050"/>
          <a:ext cx="2543177" cy="490539"/>
          <a:chOff x="595316" y="29356050"/>
          <a:chExt cx="2543177" cy="490539"/>
        </a:xfrm>
      </xdr:grpSpPr>
      <xdr:sp macro="" textlink="">
        <xdr:nvSpPr>
          <xdr:cNvPr id="279" name="AutoShape 389">
            <a:extLst>
              <a:ext uri="{FF2B5EF4-FFF2-40B4-BE49-F238E27FC236}">
                <a16:creationId xmlns:a16="http://schemas.microsoft.com/office/drawing/2014/main" id="{E6EDC0C4-AB20-4272-B47E-E61000F98650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29356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0" name="AutoShape 390">
            <a:extLst>
              <a:ext uri="{FF2B5EF4-FFF2-40B4-BE49-F238E27FC236}">
                <a16:creationId xmlns:a16="http://schemas.microsoft.com/office/drawing/2014/main" id="{3C92AAD6-AA2C-40D5-BAE9-41F9E08CC0D9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29356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1" name="AutoShape 391">
            <a:extLst>
              <a:ext uri="{FF2B5EF4-FFF2-40B4-BE49-F238E27FC236}">
                <a16:creationId xmlns:a16="http://schemas.microsoft.com/office/drawing/2014/main" id="{725A6526-31AA-46ED-81F1-8872111CF8FB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293655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9" name="AutoShape 399">
            <a:extLst>
              <a:ext uri="{FF2B5EF4-FFF2-40B4-BE49-F238E27FC236}">
                <a16:creationId xmlns:a16="http://schemas.microsoft.com/office/drawing/2014/main" id="{885C2073-AE86-4FD1-905C-F235999B483F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29356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2" name="AutoShape 402">
            <a:extLst>
              <a:ext uri="{FF2B5EF4-FFF2-40B4-BE49-F238E27FC236}">
                <a16:creationId xmlns:a16="http://schemas.microsoft.com/office/drawing/2014/main" id="{96E2E9FB-E346-4C7F-833F-8CCE7C7C98BF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29356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5" name="AutoShape 405">
            <a:extLst>
              <a:ext uri="{FF2B5EF4-FFF2-40B4-BE49-F238E27FC236}">
                <a16:creationId xmlns:a16="http://schemas.microsoft.com/office/drawing/2014/main" id="{DAFF2E53-8FB0-4E35-97A2-B6C772DC0F32}"/>
              </a:ext>
            </a:extLst>
          </xdr:cNvPr>
          <xdr:cNvSpPr>
            <a:spLocks noChangeArrowheads="1"/>
          </xdr:cNvSpPr>
        </xdr:nvSpPr>
        <xdr:spPr bwMode="auto">
          <a:xfrm>
            <a:off x="609599" y="2935605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39" name="Line 4">
            <a:extLst>
              <a:ext uri="{FF2B5EF4-FFF2-40B4-BE49-F238E27FC236}">
                <a16:creationId xmlns:a16="http://schemas.microsoft.com/office/drawing/2014/main" id="{A59A7C75-8498-44E8-BC28-34CE82F9458B}"/>
              </a:ext>
            </a:extLst>
          </xdr:cNvPr>
          <xdr:cNvSpPr>
            <a:spLocks noChangeShapeType="1"/>
          </xdr:cNvSpPr>
        </xdr:nvSpPr>
        <xdr:spPr bwMode="auto">
          <a:xfrm>
            <a:off x="647704" y="29660851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0" name="Line 5">
            <a:extLst>
              <a:ext uri="{FF2B5EF4-FFF2-40B4-BE49-F238E27FC236}">
                <a16:creationId xmlns:a16="http://schemas.microsoft.com/office/drawing/2014/main" id="{52333E47-252B-462F-B556-ECCF3D36FEB9}"/>
              </a:ext>
            </a:extLst>
          </xdr:cNvPr>
          <xdr:cNvSpPr>
            <a:spLocks noChangeShapeType="1"/>
          </xdr:cNvSpPr>
        </xdr:nvSpPr>
        <xdr:spPr bwMode="auto">
          <a:xfrm>
            <a:off x="595316" y="29784676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1" name="Line 6">
            <a:extLst>
              <a:ext uri="{FF2B5EF4-FFF2-40B4-BE49-F238E27FC236}">
                <a16:creationId xmlns:a16="http://schemas.microsoft.com/office/drawing/2014/main" id="{5ADDAECD-0028-45B3-B6BA-6D16D17B7684}"/>
              </a:ext>
            </a:extLst>
          </xdr:cNvPr>
          <xdr:cNvSpPr>
            <a:spLocks noChangeShapeType="1"/>
          </xdr:cNvSpPr>
        </xdr:nvSpPr>
        <xdr:spPr bwMode="auto">
          <a:xfrm>
            <a:off x="1619254" y="29670376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2" name="Line 7">
            <a:extLst>
              <a:ext uri="{FF2B5EF4-FFF2-40B4-BE49-F238E27FC236}">
                <a16:creationId xmlns:a16="http://schemas.microsoft.com/office/drawing/2014/main" id="{A2391830-EA88-4B9B-9C4E-796B32EE7515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41" y="29751339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3" name="Line 8">
            <a:extLst>
              <a:ext uri="{FF2B5EF4-FFF2-40B4-BE49-F238E27FC236}">
                <a16:creationId xmlns:a16="http://schemas.microsoft.com/office/drawing/2014/main" id="{0E039D81-F014-40A4-A3A4-B92D65A0FF97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55" y="29746575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4" name="Line 9">
            <a:extLst>
              <a:ext uri="{FF2B5EF4-FFF2-40B4-BE49-F238E27FC236}">
                <a16:creationId xmlns:a16="http://schemas.microsoft.com/office/drawing/2014/main" id="{659BF6C0-1942-481D-B2A4-D8FB46C5F476}"/>
              </a:ext>
            </a:extLst>
          </xdr:cNvPr>
          <xdr:cNvSpPr>
            <a:spLocks noChangeShapeType="1"/>
          </xdr:cNvSpPr>
        </xdr:nvSpPr>
        <xdr:spPr bwMode="auto">
          <a:xfrm>
            <a:off x="1133479" y="29670377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5" name="Line 10">
            <a:extLst>
              <a:ext uri="{FF2B5EF4-FFF2-40B4-BE49-F238E27FC236}">
                <a16:creationId xmlns:a16="http://schemas.microsoft.com/office/drawing/2014/main" id="{3A4809EF-05BA-401A-B9D1-44E65317950D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905" y="29751337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6" name="Line 6">
            <a:extLst>
              <a:ext uri="{FF2B5EF4-FFF2-40B4-BE49-F238E27FC236}">
                <a16:creationId xmlns:a16="http://schemas.microsoft.com/office/drawing/2014/main" id="{F5895920-852B-4772-8772-22536A912B4C}"/>
              </a:ext>
            </a:extLst>
          </xdr:cNvPr>
          <xdr:cNvSpPr>
            <a:spLocks noChangeShapeType="1"/>
          </xdr:cNvSpPr>
        </xdr:nvSpPr>
        <xdr:spPr bwMode="auto">
          <a:xfrm>
            <a:off x="2105026" y="2967037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7" name="Line 8">
            <a:extLst>
              <a:ext uri="{FF2B5EF4-FFF2-40B4-BE49-F238E27FC236}">
                <a16:creationId xmlns:a16="http://schemas.microsoft.com/office/drawing/2014/main" id="{DC4B889A-E1C2-495D-9779-70B89D0EAC01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7" y="2974657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8" name="Line 6">
            <a:extLst>
              <a:ext uri="{FF2B5EF4-FFF2-40B4-BE49-F238E27FC236}">
                <a16:creationId xmlns:a16="http://schemas.microsoft.com/office/drawing/2014/main" id="{B0A6DF2C-9427-4ACE-A2B5-BA4DD24B4EAA}"/>
              </a:ext>
            </a:extLst>
          </xdr:cNvPr>
          <xdr:cNvSpPr>
            <a:spLocks noChangeShapeType="1"/>
          </xdr:cNvSpPr>
        </xdr:nvSpPr>
        <xdr:spPr bwMode="auto">
          <a:xfrm>
            <a:off x="2590805" y="29670376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49" name="Line 8">
            <a:extLst>
              <a:ext uri="{FF2B5EF4-FFF2-40B4-BE49-F238E27FC236}">
                <a16:creationId xmlns:a16="http://schemas.microsoft.com/office/drawing/2014/main" id="{CB3D7485-B4B1-4D1F-97D6-FC8D28B7BAC1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6" y="29746575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0" name="Line 6">
            <a:extLst>
              <a:ext uri="{FF2B5EF4-FFF2-40B4-BE49-F238E27FC236}">
                <a16:creationId xmlns:a16="http://schemas.microsoft.com/office/drawing/2014/main" id="{D25CFE13-A9B1-4A98-8285-6A8A0597F381}"/>
              </a:ext>
            </a:extLst>
          </xdr:cNvPr>
          <xdr:cNvSpPr>
            <a:spLocks noChangeShapeType="1"/>
          </xdr:cNvSpPr>
        </xdr:nvSpPr>
        <xdr:spPr bwMode="auto">
          <a:xfrm>
            <a:off x="3076583" y="29670371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1" name="Line 8">
            <a:extLst>
              <a:ext uri="{FF2B5EF4-FFF2-40B4-BE49-F238E27FC236}">
                <a16:creationId xmlns:a16="http://schemas.microsoft.com/office/drawing/2014/main" id="{4401C930-3E3E-4448-AEDC-D0995B4ED6AF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84" y="29746570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109534</xdr:colOff>
      <xdr:row>216</xdr:row>
      <xdr:rowOff>0</xdr:rowOff>
    </xdr:from>
    <xdr:to>
      <xdr:col>19</xdr:col>
      <xdr:colOff>61911</xdr:colOff>
      <xdr:row>219</xdr:row>
      <xdr:rowOff>61915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6ECD2E08-E259-4AB8-B6F5-7623B857CE4F}"/>
            </a:ext>
          </a:extLst>
        </xdr:cNvPr>
        <xdr:cNvGrpSpPr/>
      </xdr:nvGrpSpPr>
      <xdr:grpSpPr>
        <a:xfrm>
          <a:off x="595309" y="31508700"/>
          <a:ext cx="2543177" cy="490540"/>
          <a:chOff x="595309" y="31508700"/>
          <a:chExt cx="2543177" cy="490540"/>
        </a:xfrm>
      </xdr:grpSpPr>
      <xdr:sp macro="" textlink="">
        <xdr:nvSpPr>
          <xdr:cNvPr id="298" name="AutoShape 408">
            <a:extLst>
              <a:ext uri="{FF2B5EF4-FFF2-40B4-BE49-F238E27FC236}">
                <a16:creationId xmlns:a16="http://schemas.microsoft.com/office/drawing/2014/main" id="{D4FBAF4D-C38F-4870-9027-66ADE357BEAA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3150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99" name="AutoShape 409">
            <a:extLst>
              <a:ext uri="{FF2B5EF4-FFF2-40B4-BE49-F238E27FC236}">
                <a16:creationId xmlns:a16="http://schemas.microsoft.com/office/drawing/2014/main" id="{7A3E5F71-8B71-406F-8288-8465562A89D6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3150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0" name="AutoShape 410">
            <a:extLst>
              <a:ext uri="{FF2B5EF4-FFF2-40B4-BE49-F238E27FC236}">
                <a16:creationId xmlns:a16="http://schemas.microsoft.com/office/drawing/2014/main" id="{C292F23B-718E-4F17-AA82-F0567C8A3F81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315182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08" name="AutoShape 418">
            <a:extLst>
              <a:ext uri="{FF2B5EF4-FFF2-40B4-BE49-F238E27FC236}">
                <a16:creationId xmlns:a16="http://schemas.microsoft.com/office/drawing/2014/main" id="{B4BACFDA-68CF-4C1B-B056-A3A4313F5694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3150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11" name="AutoShape 421">
            <a:extLst>
              <a:ext uri="{FF2B5EF4-FFF2-40B4-BE49-F238E27FC236}">
                <a16:creationId xmlns:a16="http://schemas.microsoft.com/office/drawing/2014/main" id="{45E7D2F9-A3BC-44A0-88F1-E68D233EB066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3150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14" name="AutoShape 424">
            <a:extLst>
              <a:ext uri="{FF2B5EF4-FFF2-40B4-BE49-F238E27FC236}">
                <a16:creationId xmlns:a16="http://schemas.microsoft.com/office/drawing/2014/main" id="{3E96EF3E-790C-4377-9AAE-DDF45B55CF78}"/>
              </a:ext>
            </a:extLst>
          </xdr:cNvPr>
          <xdr:cNvSpPr>
            <a:spLocks noChangeArrowheads="1"/>
          </xdr:cNvSpPr>
        </xdr:nvSpPr>
        <xdr:spPr bwMode="auto">
          <a:xfrm>
            <a:off x="609599" y="315087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52" name="Line 4">
            <a:extLst>
              <a:ext uri="{FF2B5EF4-FFF2-40B4-BE49-F238E27FC236}">
                <a16:creationId xmlns:a16="http://schemas.microsoft.com/office/drawing/2014/main" id="{300B0DE0-F7DE-42A2-B590-BE731936EBC8}"/>
              </a:ext>
            </a:extLst>
          </xdr:cNvPr>
          <xdr:cNvSpPr>
            <a:spLocks noChangeShapeType="1"/>
          </xdr:cNvSpPr>
        </xdr:nvSpPr>
        <xdr:spPr bwMode="auto">
          <a:xfrm>
            <a:off x="647697" y="318135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3" name="Line 5">
            <a:extLst>
              <a:ext uri="{FF2B5EF4-FFF2-40B4-BE49-F238E27FC236}">
                <a16:creationId xmlns:a16="http://schemas.microsoft.com/office/drawing/2014/main" id="{6FDDB05F-EC15-4530-8058-C497F46187AC}"/>
              </a:ext>
            </a:extLst>
          </xdr:cNvPr>
          <xdr:cNvSpPr>
            <a:spLocks noChangeShapeType="1"/>
          </xdr:cNvSpPr>
        </xdr:nvSpPr>
        <xdr:spPr bwMode="auto">
          <a:xfrm>
            <a:off x="595309" y="31937327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4" name="Line 6">
            <a:extLst>
              <a:ext uri="{FF2B5EF4-FFF2-40B4-BE49-F238E27FC236}">
                <a16:creationId xmlns:a16="http://schemas.microsoft.com/office/drawing/2014/main" id="{6C5B0989-2434-4979-B3AE-BE22E4A207A0}"/>
              </a:ext>
            </a:extLst>
          </xdr:cNvPr>
          <xdr:cNvSpPr>
            <a:spLocks noChangeShapeType="1"/>
          </xdr:cNvSpPr>
        </xdr:nvSpPr>
        <xdr:spPr bwMode="auto">
          <a:xfrm>
            <a:off x="1619247" y="318230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5" name="Line 7">
            <a:extLst>
              <a:ext uri="{FF2B5EF4-FFF2-40B4-BE49-F238E27FC236}">
                <a16:creationId xmlns:a16="http://schemas.microsoft.com/office/drawing/2014/main" id="{838C9A3E-19CE-48EB-81B6-403BBBF65D18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34" y="319039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6" name="Line 8">
            <a:extLst>
              <a:ext uri="{FF2B5EF4-FFF2-40B4-BE49-F238E27FC236}">
                <a16:creationId xmlns:a16="http://schemas.microsoft.com/office/drawing/2014/main" id="{73FAA71A-32DB-4EC7-BBDF-27026DED9886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48" y="318992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7" name="Line 9">
            <a:extLst>
              <a:ext uri="{FF2B5EF4-FFF2-40B4-BE49-F238E27FC236}">
                <a16:creationId xmlns:a16="http://schemas.microsoft.com/office/drawing/2014/main" id="{CA295BCF-3CDC-4FA7-8BCF-7291E766DD32}"/>
              </a:ext>
            </a:extLst>
          </xdr:cNvPr>
          <xdr:cNvSpPr>
            <a:spLocks noChangeShapeType="1"/>
          </xdr:cNvSpPr>
        </xdr:nvSpPr>
        <xdr:spPr bwMode="auto">
          <a:xfrm>
            <a:off x="1133472" y="318230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8" name="Line 10">
            <a:extLst>
              <a:ext uri="{FF2B5EF4-FFF2-40B4-BE49-F238E27FC236}">
                <a16:creationId xmlns:a16="http://schemas.microsoft.com/office/drawing/2014/main" id="{C5488DBC-13E7-42DA-B6D2-88D77B9820C2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898" y="319039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59" name="Line 6">
            <a:extLst>
              <a:ext uri="{FF2B5EF4-FFF2-40B4-BE49-F238E27FC236}">
                <a16:creationId xmlns:a16="http://schemas.microsoft.com/office/drawing/2014/main" id="{40E5D90E-B0C1-4B4A-A259-DB7E4B903417}"/>
              </a:ext>
            </a:extLst>
          </xdr:cNvPr>
          <xdr:cNvSpPr>
            <a:spLocks noChangeShapeType="1"/>
          </xdr:cNvSpPr>
        </xdr:nvSpPr>
        <xdr:spPr bwMode="auto">
          <a:xfrm>
            <a:off x="2105019" y="318230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0" name="Line 8">
            <a:extLst>
              <a:ext uri="{FF2B5EF4-FFF2-40B4-BE49-F238E27FC236}">
                <a16:creationId xmlns:a16="http://schemas.microsoft.com/office/drawing/2014/main" id="{E3DF8557-67FC-4761-9174-B627FB793516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0" y="318992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1" name="Line 6">
            <a:extLst>
              <a:ext uri="{FF2B5EF4-FFF2-40B4-BE49-F238E27FC236}">
                <a16:creationId xmlns:a16="http://schemas.microsoft.com/office/drawing/2014/main" id="{D301368B-C769-467C-8F59-5320C7E3663E}"/>
              </a:ext>
            </a:extLst>
          </xdr:cNvPr>
          <xdr:cNvSpPr>
            <a:spLocks noChangeShapeType="1"/>
          </xdr:cNvSpPr>
        </xdr:nvSpPr>
        <xdr:spPr bwMode="auto">
          <a:xfrm>
            <a:off x="2590798" y="318230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2" name="Line 8">
            <a:extLst>
              <a:ext uri="{FF2B5EF4-FFF2-40B4-BE49-F238E27FC236}">
                <a16:creationId xmlns:a16="http://schemas.microsoft.com/office/drawing/2014/main" id="{B574C9BE-8703-4ECB-87DC-2E95021FBD2B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699" y="318992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3" name="Line 6">
            <a:extLst>
              <a:ext uri="{FF2B5EF4-FFF2-40B4-BE49-F238E27FC236}">
                <a16:creationId xmlns:a16="http://schemas.microsoft.com/office/drawing/2014/main" id="{899261A9-CE75-4DF0-9FEF-D839B2960AF1}"/>
              </a:ext>
            </a:extLst>
          </xdr:cNvPr>
          <xdr:cNvSpPr>
            <a:spLocks noChangeShapeType="1"/>
          </xdr:cNvSpPr>
        </xdr:nvSpPr>
        <xdr:spPr bwMode="auto">
          <a:xfrm>
            <a:off x="3076576" y="3182302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4" name="Line 8">
            <a:extLst>
              <a:ext uri="{FF2B5EF4-FFF2-40B4-BE49-F238E27FC236}">
                <a16:creationId xmlns:a16="http://schemas.microsoft.com/office/drawing/2014/main" id="{98BA12FE-AC05-4937-B3C0-21B408F87AD3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7" y="3189922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109532</xdr:colOff>
      <xdr:row>225</xdr:row>
      <xdr:rowOff>0</xdr:rowOff>
    </xdr:from>
    <xdr:to>
      <xdr:col>19</xdr:col>
      <xdr:colOff>61909</xdr:colOff>
      <xdr:row>228</xdr:row>
      <xdr:rowOff>61915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D395D0AD-894B-4DCB-938D-A50AAFEE536E}"/>
            </a:ext>
          </a:extLst>
        </xdr:cNvPr>
        <xdr:cNvGrpSpPr/>
      </xdr:nvGrpSpPr>
      <xdr:grpSpPr>
        <a:xfrm>
          <a:off x="595307" y="32804100"/>
          <a:ext cx="2543177" cy="490540"/>
          <a:chOff x="595307" y="32804100"/>
          <a:chExt cx="2543177" cy="490540"/>
        </a:xfrm>
      </xdr:grpSpPr>
      <xdr:sp macro="" textlink="">
        <xdr:nvSpPr>
          <xdr:cNvPr id="317" name="AutoShape 427">
            <a:extLst>
              <a:ext uri="{FF2B5EF4-FFF2-40B4-BE49-F238E27FC236}">
                <a16:creationId xmlns:a16="http://schemas.microsoft.com/office/drawing/2014/main" id="{F28EE4E8-FA11-4AD1-BA8D-48DE3F5A051B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328041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18" name="AutoShape 428">
            <a:extLst>
              <a:ext uri="{FF2B5EF4-FFF2-40B4-BE49-F238E27FC236}">
                <a16:creationId xmlns:a16="http://schemas.microsoft.com/office/drawing/2014/main" id="{DAC293DE-8E9D-4716-B68F-0B73539FDFBE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328041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19" name="AutoShape 429">
            <a:extLst>
              <a:ext uri="{FF2B5EF4-FFF2-40B4-BE49-F238E27FC236}">
                <a16:creationId xmlns:a16="http://schemas.microsoft.com/office/drawing/2014/main" id="{EBDC3811-3499-4EAD-B76F-7A5968A5161A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3281362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27" name="AutoShape 437">
            <a:extLst>
              <a:ext uri="{FF2B5EF4-FFF2-40B4-BE49-F238E27FC236}">
                <a16:creationId xmlns:a16="http://schemas.microsoft.com/office/drawing/2014/main" id="{91F5D273-2064-430C-A81F-5B12E5B5EB66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328041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30" name="AutoShape 440">
            <a:extLst>
              <a:ext uri="{FF2B5EF4-FFF2-40B4-BE49-F238E27FC236}">
                <a16:creationId xmlns:a16="http://schemas.microsoft.com/office/drawing/2014/main" id="{2B3A0BD0-C5EE-48DF-99FB-456D91844E53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328041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33" name="AutoShape 443">
            <a:extLst>
              <a:ext uri="{FF2B5EF4-FFF2-40B4-BE49-F238E27FC236}">
                <a16:creationId xmlns:a16="http://schemas.microsoft.com/office/drawing/2014/main" id="{24BFF25A-BAC4-4F35-8E99-E996C21ACF35}"/>
              </a:ext>
            </a:extLst>
          </xdr:cNvPr>
          <xdr:cNvSpPr>
            <a:spLocks noChangeArrowheads="1"/>
          </xdr:cNvSpPr>
        </xdr:nvSpPr>
        <xdr:spPr bwMode="auto">
          <a:xfrm>
            <a:off x="609599" y="328041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65" name="Line 4">
            <a:extLst>
              <a:ext uri="{FF2B5EF4-FFF2-40B4-BE49-F238E27FC236}">
                <a16:creationId xmlns:a16="http://schemas.microsoft.com/office/drawing/2014/main" id="{D329BF93-BCB6-4473-8C62-AC4FB0BAFDD1}"/>
              </a:ext>
            </a:extLst>
          </xdr:cNvPr>
          <xdr:cNvSpPr>
            <a:spLocks noChangeShapeType="1"/>
          </xdr:cNvSpPr>
        </xdr:nvSpPr>
        <xdr:spPr bwMode="auto">
          <a:xfrm>
            <a:off x="647695" y="33108902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6" name="Line 5">
            <a:extLst>
              <a:ext uri="{FF2B5EF4-FFF2-40B4-BE49-F238E27FC236}">
                <a16:creationId xmlns:a16="http://schemas.microsoft.com/office/drawing/2014/main" id="{168C473A-8ED9-4B1F-82C9-94778ABDEA25}"/>
              </a:ext>
            </a:extLst>
          </xdr:cNvPr>
          <xdr:cNvSpPr>
            <a:spLocks noChangeShapeType="1"/>
          </xdr:cNvSpPr>
        </xdr:nvSpPr>
        <xdr:spPr bwMode="auto">
          <a:xfrm>
            <a:off x="595307" y="33232727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7" name="Line 6">
            <a:extLst>
              <a:ext uri="{FF2B5EF4-FFF2-40B4-BE49-F238E27FC236}">
                <a16:creationId xmlns:a16="http://schemas.microsoft.com/office/drawing/2014/main" id="{DA5953B5-DE7B-4EDD-9812-963E21131BFA}"/>
              </a:ext>
            </a:extLst>
          </xdr:cNvPr>
          <xdr:cNvSpPr>
            <a:spLocks noChangeShapeType="1"/>
          </xdr:cNvSpPr>
        </xdr:nvSpPr>
        <xdr:spPr bwMode="auto">
          <a:xfrm>
            <a:off x="1619245" y="331184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8" name="Line 7">
            <a:extLst>
              <a:ext uri="{FF2B5EF4-FFF2-40B4-BE49-F238E27FC236}">
                <a16:creationId xmlns:a16="http://schemas.microsoft.com/office/drawing/2014/main" id="{06681D77-917B-4812-A345-A6C88AEDC9AB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32" y="33199390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69" name="Line 8">
            <a:extLst>
              <a:ext uri="{FF2B5EF4-FFF2-40B4-BE49-F238E27FC236}">
                <a16:creationId xmlns:a16="http://schemas.microsoft.com/office/drawing/2014/main" id="{1F85900B-64C9-45BE-A854-824B28D33260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46" y="331946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0" name="Line 9">
            <a:extLst>
              <a:ext uri="{FF2B5EF4-FFF2-40B4-BE49-F238E27FC236}">
                <a16:creationId xmlns:a16="http://schemas.microsoft.com/office/drawing/2014/main" id="{35A0E725-D63F-4C28-9DE3-5A0893B680F4}"/>
              </a:ext>
            </a:extLst>
          </xdr:cNvPr>
          <xdr:cNvSpPr>
            <a:spLocks noChangeShapeType="1"/>
          </xdr:cNvSpPr>
        </xdr:nvSpPr>
        <xdr:spPr bwMode="auto">
          <a:xfrm>
            <a:off x="1133470" y="33118428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1" name="Line 10">
            <a:extLst>
              <a:ext uri="{FF2B5EF4-FFF2-40B4-BE49-F238E27FC236}">
                <a16:creationId xmlns:a16="http://schemas.microsoft.com/office/drawing/2014/main" id="{A5A6B6AD-1E3E-4C31-AC54-5238AD34E568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896" y="33199388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2" name="Line 6">
            <a:extLst>
              <a:ext uri="{FF2B5EF4-FFF2-40B4-BE49-F238E27FC236}">
                <a16:creationId xmlns:a16="http://schemas.microsoft.com/office/drawing/2014/main" id="{54732D2A-DD58-4753-B78F-38D28A87C909}"/>
              </a:ext>
            </a:extLst>
          </xdr:cNvPr>
          <xdr:cNvSpPr>
            <a:spLocks noChangeShapeType="1"/>
          </xdr:cNvSpPr>
        </xdr:nvSpPr>
        <xdr:spPr bwMode="auto">
          <a:xfrm>
            <a:off x="2105017" y="33118428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3" name="Line 8">
            <a:extLst>
              <a:ext uri="{FF2B5EF4-FFF2-40B4-BE49-F238E27FC236}">
                <a16:creationId xmlns:a16="http://schemas.microsoft.com/office/drawing/2014/main" id="{D79EF9BC-FD16-4E1C-87F9-1F9528DCAF48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18" y="33194627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4" name="Line 6">
            <a:extLst>
              <a:ext uri="{FF2B5EF4-FFF2-40B4-BE49-F238E27FC236}">
                <a16:creationId xmlns:a16="http://schemas.microsoft.com/office/drawing/2014/main" id="{A9E32B09-6467-4E01-A17F-DC315F0228B8}"/>
              </a:ext>
            </a:extLst>
          </xdr:cNvPr>
          <xdr:cNvSpPr>
            <a:spLocks noChangeShapeType="1"/>
          </xdr:cNvSpPr>
        </xdr:nvSpPr>
        <xdr:spPr bwMode="auto">
          <a:xfrm>
            <a:off x="2590796" y="33118427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5" name="Line 8">
            <a:extLst>
              <a:ext uri="{FF2B5EF4-FFF2-40B4-BE49-F238E27FC236}">
                <a16:creationId xmlns:a16="http://schemas.microsoft.com/office/drawing/2014/main" id="{8E08303A-6031-4EFF-A0EB-EC90DFF9C2BF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697" y="33194626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6" name="Line 6">
            <a:extLst>
              <a:ext uri="{FF2B5EF4-FFF2-40B4-BE49-F238E27FC236}">
                <a16:creationId xmlns:a16="http://schemas.microsoft.com/office/drawing/2014/main" id="{A67CF9FC-6C75-4AF9-B381-A36DECBECD86}"/>
              </a:ext>
            </a:extLst>
          </xdr:cNvPr>
          <xdr:cNvSpPr>
            <a:spLocks noChangeShapeType="1"/>
          </xdr:cNvSpPr>
        </xdr:nvSpPr>
        <xdr:spPr bwMode="auto">
          <a:xfrm>
            <a:off x="3076574" y="33118422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7" name="Line 8">
            <a:extLst>
              <a:ext uri="{FF2B5EF4-FFF2-40B4-BE49-F238E27FC236}">
                <a16:creationId xmlns:a16="http://schemas.microsoft.com/office/drawing/2014/main" id="{AF0E0AFA-2147-4B1E-882A-0AD16B783B43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75" y="33194621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  <xdr:twoCellAnchor>
    <xdr:from>
      <xdr:col>3</xdr:col>
      <xdr:colOff>109543</xdr:colOff>
      <xdr:row>239</xdr:row>
      <xdr:rowOff>0</xdr:rowOff>
    </xdr:from>
    <xdr:to>
      <xdr:col>19</xdr:col>
      <xdr:colOff>61920</xdr:colOff>
      <xdr:row>242</xdr:row>
      <xdr:rowOff>61912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34E90CF7-7BEC-4D57-B15E-235F41BB583F}"/>
            </a:ext>
          </a:extLst>
        </xdr:cNvPr>
        <xdr:cNvGrpSpPr/>
      </xdr:nvGrpSpPr>
      <xdr:grpSpPr>
        <a:xfrm>
          <a:off x="595318" y="34813875"/>
          <a:ext cx="2543177" cy="490537"/>
          <a:chOff x="595318" y="34813875"/>
          <a:chExt cx="2543177" cy="490537"/>
        </a:xfrm>
      </xdr:grpSpPr>
      <xdr:sp macro="" textlink="">
        <xdr:nvSpPr>
          <xdr:cNvPr id="336" name="AutoShape 446">
            <a:extLst>
              <a:ext uri="{FF2B5EF4-FFF2-40B4-BE49-F238E27FC236}">
                <a16:creationId xmlns:a16="http://schemas.microsoft.com/office/drawing/2014/main" id="{CE649377-741E-44C0-967F-AEDF4542491F}"/>
              </a:ext>
            </a:extLst>
          </xdr:cNvPr>
          <xdr:cNvSpPr>
            <a:spLocks noChangeArrowheads="1"/>
          </xdr:cNvSpPr>
        </xdr:nvSpPr>
        <xdr:spPr bwMode="auto">
          <a:xfrm>
            <a:off x="2066924" y="34813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37" name="AutoShape 447">
            <a:extLst>
              <a:ext uri="{FF2B5EF4-FFF2-40B4-BE49-F238E27FC236}">
                <a16:creationId xmlns:a16="http://schemas.microsoft.com/office/drawing/2014/main" id="{F5614D6C-7F52-44EF-9EDE-CD8331834DAB}"/>
              </a:ext>
            </a:extLst>
          </xdr:cNvPr>
          <xdr:cNvSpPr>
            <a:spLocks noChangeArrowheads="1"/>
          </xdr:cNvSpPr>
        </xdr:nvSpPr>
        <xdr:spPr bwMode="auto">
          <a:xfrm>
            <a:off x="2552699" y="34813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38" name="AutoShape 448">
            <a:extLst>
              <a:ext uri="{FF2B5EF4-FFF2-40B4-BE49-F238E27FC236}">
                <a16:creationId xmlns:a16="http://schemas.microsoft.com/office/drawing/2014/main" id="{B15B5D1B-A8C6-447A-B1CD-8C1887741122}"/>
              </a:ext>
            </a:extLst>
          </xdr:cNvPr>
          <xdr:cNvSpPr>
            <a:spLocks noChangeArrowheads="1"/>
          </xdr:cNvSpPr>
        </xdr:nvSpPr>
        <xdr:spPr bwMode="auto">
          <a:xfrm>
            <a:off x="3038474" y="34823400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46" name="AutoShape 456">
            <a:extLst>
              <a:ext uri="{FF2B5EF4-FFF2-40B4-BE49-F238E27FC236}">
                <a16:creationId xmlns:a16="http://schemas.microsoft.com/office/drawing/2014/main" id="{3078F8FB-8D9A-4142-BC9B-1FEF7F80329F}"/>
              </a:ext>
            </a:extLst>
          </xdr:cNvPr>
          <xdr:cNvSpPr>
            <a:spLocks noChangeArrowheads="1"/>
          </xdr:cNvSpPr>
        </xdr:nvSpPr>
        <xdr:spPr bwMode="auto">
          <a:xfrm>
            <a:off x="1581149" y="34813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49" name="AutoShape 459">
            <a:extLst>
              <a:ext uri="{FF2B5EF4-FFF2-40B4-BE49-F238E27FC236}">
                <a16:creationId xmlns:a16="http://schemas.microsoft.com/office/drawing/2014/main" id="{95C0070F-BFCC-4A1F-B5C7-B2922B9859B0}"/>
              </a:ext>
            </a:extLst>
          </xdr:cNvPr>
          <xdr:cNvSpPr>
            <a:spLocks noChangeArrowheads="1"/>
          </xdr:cNvSpPr>
        </xdr:nvSpPr>
        <xdr:spPr bwMode="auto">
          <a:xfrm>
            <a:off x="1095374" y="34813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352" name="AutoShape 462">
            <a:extLst>
              <a:ext uri="{FF2B5EF4-FFF2-40B4-BE49-F238E27FC236}">
                <a16:creationId xmlns:a16="http://schemas.microsoft.com/office/drawing/2014/main" id="{7B7843E7-1E2F-4B2E-9E42-6E77603A2F37}"/>
              </a:ext>
            </a:extLst>
          </xdr:cNvPr>
          <xdr:cNvSpPr>
            <a:spLocks noChangeArrowheads="1"/>
          </xdr:cNvSpPr>
        </xdr:nvSpPr>
        <xdr:spPr bwMode="auto">
          <a:xfrm>
            <a:off x="609599" y="34813875"/>
            <a:ext cx="85725" cy="104775"/>
          </a:xfrm>
          <a:prstGeom prst="triangle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78" name="Line 4">
            <a:extLst>
              <a:ext uri="{FF2B5EF4-FFF2-40B4-BE49-F238E27FC236}">
                <a16:creationId xmlns:a16="http://schemas.microsoft.com/office/drawing/2014/main" id="{1EC6A172-2A7C-4332-B8F4-D860EACB4AB3}"/>
              </a:ext>
            </a:extLst>
          </xdr:cNvPr>
          <xdr:cNvSpPr>
            <a:spLocks noChangeShapeType="1"/>
          </xdr:cNvSpPr>
        </xdr:nvSpPr>
        <xdr:spPr bwMode="auto">
          <a:xfrm>
            <a:off x="647706" y="35118674"/>
            <a:ext cx="0" cy="180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79" name="Line 5">
            <a:extLst>
              <a:ext uri="{FF2B5EF4-FFF2-40B4-BE49-F238E27FC236}">
                <a16:creationId xmlns:a16="http://schemas.microsoft.com/office/drawing/2014/main" id="{1CF880F9-3414-4420-B54D-D9A54DBEEC85}"/>
              </a:ext>
            </a:extLst>
          </xdr:cNvPr>
          <xdr:cNvSpPr>
            <a:spLocks noChangeShapeType="1"/>
          </xdr:cNvSpPr>
        </xdr:nvSpPr>
        <xdr:spPr bwMode="auto">
          <a:xfrm>
            <a:off x="595318" y="35242499"/>
            <a:ext cx="254317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0" name="Line 6">
            <a:extLst>
              <a:ext uri="{FF2B5EF4-FFF2-40B4-BE49-F238E27FC236}">
                <a16:creationId xmlns:a16="http://schemas.microsoft.com/office/drawing/2014/main" id="{28BCD176-D464-45F2-BBFC-FA851B1338B1}"/>
              </a:ext>
            </a:extLst>
          </xdr:cNvPr>
          <xdr:cNvSpPr>
            <a:spLocks noChangeShapeType="1"/>
          </xdr:cNvSpPr>
        </xdr:nvSpPr>
        <xdr:spPr bwMode="auto">
          <a:xfrm>
            <a:off x="1619256" y="35128199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1" name="Line 7">
            <a:extLst>
              <a:ext uri="{FF2B5EF4-FFF2-40B4-BE49-F238E27FC236}">
                <a16:creationId xmlns:a16="http://schemas.microsoft.com/office/drawing/2014/main" id="{1EAD56EB-D57C-43DD-95E5-2C32EBD63DDF}"/>
              </a:ext>
            </a:extLst>
          </xdr:cNvPr>
          <xdr:cNvSpPr>
            <a:spLocks noChangeShapeType="1"/>
          </xdr:cNvSpPr>
        </xdr:nvSpPr>
        <xdr:spPr bwMode="auto">
          <a:xfrm flipH="1">
            <a:off x="604843" y="35209162"/>
            <a:ext cx="76199" cy="7619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2" name="Line 8">
            <a:extLst>
              <a:ext uri="{FF2B5EF4-FFF2-40B4-BE49-F238E27FC236}">
                <a16:creationId xmlns:a16="http://schemas.microsoft.com/office/drawing/2014/main" id="{D98797FA-AA60-48E3-B04F-73522D291F84}"/>
              </a:ext>
            </a:extLst>
          </xdr:cNvPr>
          <xdr:cNvSpPr>
            <a:spLocks noChangeShapeType="1"/>
          </xdr:cNvSpPr>
        </xdr:nvSpPr>
        <xdr:spPr bwMode="auto">
          <a:xfrm flipH="1">
            <a:off x="1581157" y="35204398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3" name="Line 9">
            <a:extLst>
              <a:ext uri="{FF2B5EF4-FFF2-40B4-BE49-F238E27FC236}">
                <a16:creationId xmlns:a16="http://schemas.microsoft.com/office/drawing/2014/main" id="{CE1EF477-4F3A-4126-8054-98F8C3C66C73}"/>
              </a:ext>
            </a:extLst>
          </xdr:cNvPr>
          <xdr:cNvSpPr>
            <a:spLocks noChangeShapeType="1"/>
          </xdr:cNvSpPr>
        </xdr:nvSpPr>
        <xdr:spPr bwMode="auto">
          <a:xfrm>
            <a:off x="1133481" y="35128200"/>
            <a:ext cx="0" cy="176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4" name="Line 10">
            <a:extLst>
              <a:ext uri="{FF2B5EF4-FFF2-40B4-BE49-F238E27FC236}">
                <a16:creationId xmlns:a16="http://schemas.microsoft.com/office/drawing/2014/main" id="{27EE3918-27D3-476D-9EFA-0DC7B21543C6}"/>
              </a:ext>
            </a:extLst>
          </xdr:cNvPr>
          <xdr:cNvSpPr>
            <a:spLocks noChangeShapeType="1"/>
          </xdr:cNvSpPr>
        </xdr:nvSpPr>
        <xdr:spPr bwMode="auto">
          <a:xfrm flipH="1">
            <a:off x="1104907" y="35209160"/>
            <a:ext cx="57150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5" name="Line 6">
            <a:extLst>
              <a:ext uri="{FF2B5EF4-FFF2-40B4-BE49-F238E27FC236}">
                <a16:creationId xmlns:a16="http://schemas.microsoft.com/office/drawing/2014/main" id="{AC057048-276C-4A69-8746-1814A9A9C02A}"/>
              </a:ext>
            </a:extLst>
          </xdr:cNvPr>
          <xdr:cNvSpPr>
            <a:spLocks noChangeShapeType="1"/>
          </xdr:cNvSpPr>
        </xdr:nvSpPr>
        <xdr:spPr bwMode="auto">
          <a:xfrm>
            <a:off x="2105028" y="35128200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6" name="Line 8">
            <a:extLst>
              <a:ext uri="{FF2B5EF4-FFF2-40B4-BE49-F238E27FC236}">
                <a16:creationId xmlns:a16="http://schemas.microsoft.com/office/drawing/2014/main" id="{3A4A5D7E-8019-491D-859E-8D1E029D4F3C}"/>
              </a:ext>
            </a:extLst>
          </xdr:cNvPr>
          <xdr:cNvSpPr>
            <a:spLocks noChangeShapeType="1"/>
          </xdr:cNvSpPr>
        </xdr:nvSpPr>
        <xdr:spPr bwMode="auto">
          <a:xfrm flipH="1">
            <a:off x="2066929" y="35204399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7" name="Line 6">
            <a:extLst>
              <a:ext uri="{FF2B5EF4-FFF2-40B4-BE49-F238E27FC236}">
                <a16:creationId xmlns:a16="http://schemas.microsoft.com/office/drawing/2014/main" id="{022D59EB-C267-4E7A-B9EF-3373118A733F}"/>
              </a:ext>
            </a:extLst>
          </xdr:cNvPr>
          <xdr:cNvSpPr>
            <a:spLocks noChangeShapeType="1"/>
          </xdr:cNvSpPr>
        </xdr:nvSpPr>
        <xdr:spPr bwMode="auto">
          <a:xfrm>
            <a:off x="2590807" y="35128199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8" name="Line 8">
            <a:extLst>
              <a:ext uri="{FF2B5EF4-FFF2-40B4-BE49-F238E27FC236}">
                <a16:creationId xmlns:a16="http://schemas.microsoft.com/office/drawing/2014/main" id="{1F91BC98-2666-4FFE-9C93-851467953B91}"/>
              </a:ext>
            </a:extLst>
          </xdr:cNvPr>
          <xdr:cNvSpPr>
            <a:spLocks noChangeShapeType="1"/>
          </xdr:cNvSpPr>
        </xdr:nvSpPr>
        <xdr:spPr bwMode="auto">
          <a:xfrm flipH="1">
            <a:off x="2552708" y="35204398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89" name="Line 6">
            <a:extLst>
              <a:ext uri="{FF2B5EF4-FFF2-40B4-BE49-F238E27FC236}">
                <a16:creationId xmlns:a16="http://schemas.microsoft.com/office/drawing/2014/main" id="{7118D108-7089-42E9-BA04-84BADAAA4DE0}"/>
              </a:ext>
            </a:extLst>
          </xdr:cNvPr>
          <xdr:cNvSpPr>
            <a:spLocks noChangeShapeType="1"/>
          </xdr:cNvSpPr>
        </xdr:nvSpPr>
        <xdr:spPr bwMode="auto">
          <a:xfrm>
            <a:off x="3076585" y="35128194"/>
            <a:ext cx="0" cy="1714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90" name="Line 8">
            <a:extLst>
              <a:ext uri="{FF2B5EF4-FFF2-40B4-BE49-F238E27FC236}">
                <a16:creationId xmlns:a16="http://schemas.microsoft.com/office/drawing/2014/main" id="{79728F8A-8ED8-4445-94A8-0B62EA7885E6}"/>
              </a:ext>
            </a:extLst>
          </xdr:cNvPr>
          <xdr:cNvSpPr>
            <a:spLocks noChangeShapeType="1"/>
          </xdr:cNvSpPr>
        </xdr:nvSpPr>
        <xdr:spPr bwMode="auto">
          <a:xfrm flipH="1">
            <a:off x="3038486" y="35204393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5D1FB-FA1D-43D7-831F-AE8C46C2BAB0}">
  <dimension ref="B1:BG245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H2" sqref="BH2"/>
    </sheetView>
  </sheetViews>
  <sheetFormatPr defaultRowHeight="11.25"/>
  <cols>
    <col min="1" max="1148" width="2.83203125" style="35" customWidth="1"/>
    <col min="1149" max="16384" width="9.33203125" style="35"/>
  </cols>
  <sheetData>
    <row r="1" spans="2:59" ht="12" thickBot="1"/>
    <row r="2" spans="2:59" ht="43.5" customHeight="1">
      <c r="B2" s="63" t="s">
        <v>218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5"/>
      <c r="BC2" s="36"/>
      <c r="BD2" s="36"/>
      <c r="BE2" s="36"/>
      <c r="BF2" s="36"/>
      <c r="BG2" s="36"/>
    </row>
    <row r="3" spans="2:59">
      <c r="B3" s="38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39"/>
      <c r="AA3" s="40"/>
      <c r="AB3" s="40"/>
      <c r="AC3" s="40"/>
      <c r="AD3" s="40"/>
      <c r="AE3" s="40"/>
      <c r="AF3" s="40"/>
      <c r="AG3" s="40"/>
      <c r="AH3" s="40"/>
      <c r="AI3" s="40"/>
      <c r="AJ3" s="14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1"/>
      <c r="BB3" s="42"/>
    </row>
    <row r="4" spans="2:59">
      <c r="B4" s="38"/>
      <c r="C4" s="1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43"/>
      <c r="AA4" s="37"/>
      <c r="AB4" s="37"/>
      <c r="AC4" s="37"/>
      <c r="AD4" s="20"/>
      <c r="AE4" s="20"/>
      <c r="AF4" s="20" t="s">
        <v>0</v>
      </c>
      <c r="AG4" s="68">
        <v>3</v>
      </c>
      <c r="AH4" s="68"/>
      <c r="AI4" s="21" t="s">
        <v>159</v>
      </c>
      <c r="AJ4" s="20"/>
      <c r="AK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44"/>
      <c r="BB4" s="42"/>
    </row>
    <row r="5" spans="2:59">
      <c r="B5" s="38"/>
      <c r="C5" s="1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43"/>
      <c r="AA5" s="37"/>
      <c r="AB5" s="37"/>
      <c r="AC5" s="37"/>
      <c r="AD5" s="20"/>
      <c r="AE5" s="20"/>
      <c r="AF5" s="20"/>
      <c r="AG5" s="20"/>
      <c r="AH5" s="20"/>
      <c r="AI5" s="20"/>
      <c r="AJ5" s="20"/>
      <c r="AK5" s="37"/>
      <c r="AL5" s="21" t="s">
        <v>154</v>
      </c>
      <c r="AM5" s="69">
        <v>200000</v>
      </c>
      <c r="AN5" s="69"/>
      <c r="AO5" s="69"/>
      <c r="AP5" s="22" t="s">
        <v>163</v>
      </c>
      <c r="AQ5" s="23"/>
      <c r="AR5" s="20"/>
      <c r="AS5" s="37" t="s">
        <v>219</v>
      </c>
      <c r="AT5" s="37"/>
      <c r="AU5" s="37"/>
      <c r="AV5" s="37"/>
      <c r="AW5" s="37"/>
      <c r="AX5" s="37"/>
      <c r="AY5" s="37"/>
      <c r="AZ5" s="37"/>
      <c r="BA5" s="44"/>
      <c r="BB5" s="42"/>
    </row>
    <row r="6" spans="2:59" ht="12" thickBot="1">
      <c r="B6" s="38"/>
      <c r="C6" s="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43"/>
      <c r="AA6" s="37"/>
      <c r="AB6" s="37"/>
      <c r="AC6" s="37"/>
      <c r="AD6" s="20"/>
      <c r="AE6" s="2"/>
      <c r="AF6" s="2"/>
      <c r="AG6" s="2"/>
      <c r="AH6" s="2"/>
      <c r="AI6" s="20"/>
      <c r="AJ6" s="20"/>
      <c r="AK6" s="37"/>
      <c r="AL6" s="60" t="s">
        <v>156</v>
      </c>
      <c r="AM6" s="69">
        <v>1984</v>
      </c>
      <c r="AN6" s="69"/>
      <c r="AO6" s="69"/>
      <c r="AP6" s="22" t="s">
        <v>155</v>
      </c>
      <c r="AQ6" s="23"/>
      <c r="AR6" s="20"/>
      <c r="AS6" s="37" t="s">
        <v>220</v>
      </c>
      <c r="AT6" s="37"/>
      <c r="AU6" s="37"/>
      <c r="AV6" s="37"/>
      <c r="AW6" s="37"/>
      <c r="AX6" s="37"/>
      <c r="AY6" s="37"/>
      <c r="AZ6" s="37"/>
      <c r="BA6" s="44"/>
      <c r="BB6" s="42"/>
    </row>
    <row r="7" spans="2:59">
      <c r="B7" s="38"/>
      <c r="C7" s="1"/>
      <c r="D7" s="20"/>
      <c r="E7" s="20"/>
      <c r="F7" s="34" t="s">
        <v>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3"/>
      <c r="AA7" s="37"/>
      <c r="AB7" s="37"/>
      <c r="AC7" s="37"/>
      <c r="AD7" s="20"/>
      <c r="AE7" s="3"/>
      <c r="AF7" s="3"/>
      <c r="AG7" s="3"/>
      <c r="AH7" s="3"/>
      <c r="AI7" s="20"/>
      <c r="AJ7" s="20"/>
      <c r="AK7" s="37"/>
      <c r="AL7" s="19" t="s">
        <v>222</v>
      </c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44"/>
      <c r="BB7" s="42"/>
    </row>
    <row r="8" spans="2:59">
      <c r="B8" s="38"/>
      <c r="C8" s="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43"/>
      <c r="AA8" s="37"/>
      <c r="AB8" s="37"/>
      <c r="AC8" s="37"/>
      <c r="AD8" s="20"/>
      <c r="AE8" s="20"/>
      <c r="AF8" s="27"/>
      <c r="AG8" s="20"/>
      <c r="AH8" s="20"/>
      <c r="AI8" s="20"/>
      <c r="AJ8" s="20"/>
      <c r="AK8" s="37"/>
      <c r="AL8" s="19" t="s">
        <v>223</v>
      </c>
      <c r="AO8" s="37"/>
      <c r="AP8" s="37"/>
      <c r="AQ8" s="62">
        <f>+AF9/300*1000</f>
        <v>15</v>
      </c>
      <c r="AR8" s="62"/>
      <c r="AS8" s="62"/>
      <c r="AT8" s="37" t="s">
        <v>165</v>
      </c>
      <c r="AU8" s="37"/>
      <c r="AV8" s="37"/>
      <c r="AW8" s="37"/>
      <c r="AX8" s="37"/>
      <c r="AY8" s="37"/>
      <c r="AZ8" s="37"/>
      <c r="BA8" s="44"/>
      <c r="BB8" s="42"/>
    </row>
    <row r="9" spans="2:59">
      <c r="B9" s="38"/>
      <c r="C9" s="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43"/>
      <c r="AA9" s="37"/>
      <c r="AB9" s="37"/>
      <c r="AC9" s="37"/>
      <c r="AD9" s="20"/>
      <c r="AE9" s="28" t="s">
        <v>2</v>
      </c>
      <c r="AF9" s="68">
        <v>4.5</v>
      </c>
      <c r="AG9" s="68"/>
      <c r="AH9" s="21" t="s">
        <v>160</v>
      </c>
      <c r="AI9" s="20"/>
      <c r="AJ9" s="20"/>
      <c r="AK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44"/>
      <c r="BB9" s="42"/>
    </row>
    <row r="10" spans="2:59" ht="12" thickBot="1">
      <c r="B10" s="38"/>
      <c r="C10" s="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43"/>
      <c r="AA10" s="37"/>
      <c r="AB10" s="37"/>
      <c r="AC10" s="37"/>
      <c r="AD10" s="20"/>
      <c r="AE10" s="20"/>
      <c r="AF10" s="20"/>
      <c r="AG10" s="20"/>
      <c r="AH10" s="20"/>
      <c r="AI10" s="20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44"/>
      <c r="BB10" s="42"/>
    </row>
    <row r="11" spans="2:59" ht="12" thickTop="1">
      <c r="B11" s="38"/>
      <c r="C11" s="72" t="s">
        <v>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4"/>
      <c r="AA11" s="5"/>
      <c r="AB11" s="5"/>
      <c r="AC11" s="5"/>
      <c r="AD11" s="5"/>
      <c r="AE11" s="5"/>
      <c r="AF11" s="5"/>
      <c r="AG11" s="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6"/>
      <c r="AS11" s="45"/>
      <c r="AT11" s="45"/>
      <c r="AU11" s="45"/>
      <c r="AV11" s="45"/>
      <c r="AW11" s="45"/>
      <c r="AX11" s="45"/>
      <c r="AY11" s="45"/>
      <c r="AZ11" s="45"/>
      <c r="BA11" s="46"/>
      <c r="BB11" s="42"/>
    </row>
    <row r="12" spans="2:59">
      <c r="B12" s="38"/>
      <c r="C12" s="7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 t="s">
        <v>4</v>
      </c>
      <c r="W12" s="20"/>
      <c r="X12" s="20"/>
      <c r="Y12" s="20"/>
      <c r="Z12" s="1"/>
      <c r="AA12" s="20" t="s">
        <v>5</v>
      </c>
      <c r="AB12" s="20"/>
      <c r="AC12" s="20"/>
      <c r="AD12" s="20"/>
      <c r="AE12" s="37"/>
      <c r="AF12" s="66">
        <f>0.07*$AG$4*$AF$9^2</f>
        <v>4.2525000000000004</v>
      </c>
      <c r="AG12" s="66"/>
      <c r="AH12" s="66"/>
      <c r="AI12" s="37" t="s">
        <v>161</v>
      </c>
      <c r="AJ12" s="37"/>
      <c r="AK12" s="37"/>
      <c r="AL12" s="37"/>
      <c r="AM12" s="37"/>
      <c r="AN12" s="37"/>
      <c r="AO12" s="37"/>
      <c r="AP12" s="37"/>
      <c r="AQ12" s="37"/>
      <c r="AR12" s="44"/>
      <c r="AS12" s="37"/>
      <c r="AT12" s="37"/>
      <c r="AU12" s="37"/>
      <c r="AV12" s="37"/>
      <c r="AW12" s="37"/>
      <c r="AX12" s="37"/>
      <c r="AY12" s="37"/>
      <c r="AZ12" s="37"/>
      <c r="BA12" s="44"/>
      <c r="BB12" s="42"/>
    </row>
    <row r="13" spans="2:59">
      <c r="B13" s="38"/>
      <c r="C13" s="7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5"/>
      <c r="O13" s="25"/>
      <c r="P13" s="25"/>
      <c r="Q13" s="25"/>
      <c r="R13" s="25"/>
      <c r="S13" s="25"/>
      <c r="T13" s="20"/>
      <c r="U13" s="20"/>
      <c r="V13" s="20" t="s">
        <v>6</v>
      </c>
      <c r="W13" s="20"/>
      <c r="X13" s="20"/>
      <c r="Y13" s="20"/>
      <c r="Z13" s="1"/>
      <c r="AA13" s="26" t="s">
        <v>7</v>
      </c>
      <c r="AB13" s="20"/>
      <c r="AC13" s="20"/>
      <c r="AD13" s="20"/>
      <c r="AE13" s="37"/>
      <c r="AF13" s="66">
        <f>-0.125*$AG$4*$AF$9^2</f>
        <v>-7.59375</v>
      </c>
      <c r="AG13" s="66"/>
      <c r="AH13" s="66"/>
      <c r="AI13" s="37" t="s">
        <v>161</v>
      </c>
      <c r="AJ13" s="37"/>
      <c r="AK13" s="37"/>
      <c r="AL13" s="37"/>
      <c r="AM13" s="37"/>
      <c r="AN13" s="37"/>
      <c r="AO13" s="37"/>
      <c r="AP13" s="37"/>
      <c r="AQ13" s="37"/>
      <c r="AR13" s="44"/>
      <c r="AS13" s="37"/>
      <c r="AT13" s="37"/>
      <c r="AU13" s="37"/>
      <c r="AV13" s="37"/>
      <c r="AW13" s="37"/>
      <c r="AX13" s="37"/>
      <c r="AY13" s="37"/>
      <c r="AZ13" s="37"/>
      <c r="BA13" s="44"/>
      <c r="BB13" s="42"/>
    </row>
    <row r="14" spans="2:59">
      <c r="B14" s="38"/>
      <c r="C14" s="7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7">
        <v>1</v>
      </c>
      <c r="P14" s="20"/>
      <c r="Q14" s="20"/>
      <c r="R14" s="27">
        <v>2</v>
      </c>
      <c r="S14" s="20"/>
      <c r="T14" s="20"/>
      <c r="U14" s="20"/>
      <c r="V14" s="20" t="s">
        <v>8</v>
      </c>
      <c r="W14" s="20"/>
      <c r="X14" s="20"/>
      <c r="Y14" s="20"/>
      <c r="Z14" s="1"/>
      <c r="AA14" s="20" t="s">
        <v>9</v>
      </c>
      <c r="AB14" s="20"/>
      <c r="AC14" s="20"/>
      <c r="AD14" s="20"/>
      <c r="AE14" s="37"/>
      <c r="AF14" s="66">
        <f>0.375*$AG$4*$AF$9</f>
        <v>5.0625</v>
      </c>
      <c r="AG14" s="66"/>
      <c r="AH14" s="66"/>
      <c r="AI14" s="37" t="s">
        <v>162</v>
      </c>
      <c r="AJ14" s="37"/>
      <c r="AK14" s="37"/>
      <c r="AL14" s="37"/>
      <c r="AM14" s="37"/>
      <c r="AN14" s="37"/>
      <c r="AO14" s="37"/>
      <c r="AP14" s="37"/>
      <c r="AQ14" s="37"/>
      <c r="AR14" s="44"/>
      <c r="AS14" s="37"/>
      <c r="AT14" s="37"/>
      <c r="AU14" s="37"/>
      <c r="AV14" s="37"/>
      <c r="AW14" s="37"/>
      <c r="AX14" s="37"/>
      <c r="AY14" s="37"/>
      <c r="AZ14" s="37"/>
      <c r="BA14" s="44"/>
      <c r="BB14" s="42"/>
    </row>
    <row r="15" spans="2:59">
      <c r="B15" s="38"/>
      <c r="C15" s="71"/>
      <c r="D15" s="20"/>
      <c r="E15" s="20"/>
      <c r="F15" s="20"/>
      <c r="G15" s="20"/>
      <c r="H15" s="20"/>
      <c r="I15" s="20"/>
      <c r="J15" s="20"/>
      <c r="K15" s="20"/>
      <c r="L15" s="20"/>
      <c r="M15" s="67" t="s">
        <v>8</v>
      </c>
      <c r="N15" s="67"/>
      <c r="O15" s="27"/>
      <c r="P15" s="67" t="s">
        <v>10</v>
      </c>
      <c r="Q15" s="67"/>
      <c r="R15" s="27"/>
      <c r="S15" s="67" t="s">
        <v>11</v>
      </c>
      <c r="T15" s="67"/>
      <c r="U15" s="20"/>
      <c r="V15" s="20" t="s">
        <v>12</v>
      </c>
      <c r="W15" s="20"/>
      <c r="X15" s="20"/>
      <c r="Y15" s="20"/>
      <c r="Z15" s="1"/>
      <c r="AA15" s="20" t="s">
        <v>13</v>
      </c>
      <c r="AB15" s="20"/>
      <c r="AC15" s="20"/>
      <c r="AD15" s="20"/>
      <c r="AE15" s="37"/>
      <c r="AF15" s="66">
        <f>1.25*$AG$4*$AF$9</f>
        <v>16.875</v>
      </c>
      <c r="AG15" s="66"/>
      <c r="AH15" s="66"/>
      <c r="AI15" s="37" t="s">
        <v>162</v>
      </c>
      <c r="AJ15" s="37"/>
      <c r="AK15" s="37"/>
      <c r="AL15" s="37"/>
      <c r="AM15" s="37"/>
      <c r="AN15" s="37"/>
      <c r="AO15" s="37"/>
      <c r="AP15" s="37"/>
      <c r="AQ15" s="37"/>
      <c r="AR15" s="44"/>
      <c r="AS15" s="37"/>
      <c r="AT15" s="37"/>
      <c r="AU15" s="37"/>
      <c r="AV15" s="37"/>
      <c r="AW15" s="37"/>
      <c r="AX15" s="37"/>
      <c r="AY15" s="37"/>
      <c r="AZ15" s="37"/>
      <c r="BA15" s="44"/>
      <c r="BB15" s="42"/>
    </row>
    <row r="16" spans="2:59">
      <c r="B16" s="38"/>
      <c r="C16" s="71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7"/>
      <c r="O16" s="27" t="s">
        <v>14</v>
      </c>
      <c r="P16" s="20"/>
      <c r="Q16" s="28"/>
      <c r="R16" s="27" t="str">
        <f>+O16</f>
        <v>L</v>
      </c>
      <c r="S16" s="20"/>
      <c r="T16" s="20"/>
      <c r="U16" s="20"/>
      <c r="V16" s="20" t="s">
        <v>15</v>
      </c>
      <c r="W16" s="20"/>
      <c r="X16" s="20"/>
      <c r="Y16" s="20"/>
      <c r="Z16" s="1"/>
      <c r="AA16" s="26" t="s">
        <v>16</v>
      </c>
      <c r="AB16" s="20"/>
      <c r="AC16" s="20"/>
      <c r="AD16" s="20"/>
      <c r="AE16" s="37"/>
      <c r="AF16" s="66">
        <f>-0.625*$AG$4*$AF$9</f>
        <v>-8.4375</v>
      </c>
      <c r="AG16" s="66"/>
      <c r="AH16" s="66"/>
      <c r="AI16" s="37" t="s">
        <v>162</v>
      </c>
      <c r="AJ16" s="37"/>
      <c r="AK16" s="37"/>
      <c r="AL16" s="37"/>
      <c r="AM16" s="37"/>
      <c r="AN16" s="37"/>
      <c r="AO16" s="37"/>
      <c r="AP16" s="37"/>
      <c r="AQ16" s="37"/>
      <c r="AR16" s="44"/>
      <c r="AS16" s="37"/>
      <c r="AT16" s="37"/>
      <c r="AU16" s="37"/>
      <c r="AV16" s="37"/>
      <c r="AW16" s="37"/>
      <c r="AX16" s="37"/>
      <c r="AY16" s="37"/>
      <c r="AZ16" s="37"/>
      <c r="BA16" s="44"/>
      <c r="BB16" s="42"/>
    </row>
    <row r="17" spans="2:58">
      <c r="B17" s="38"/>
      <c r="C17" s="7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7"/>
      <c r="O17" s="27"/>
      <c r="P17" s="20"/>
      <c r="Q17" s="28"/>
      <c r="R17" s="27"/>
      <c r="S17" s="20"/>
      <c r="T17" s="20"/>
      <c r="U17" s="20"/>
      <c r="V17" s="19" t="s">
        <v>157</v>
      </c>
      <c r="W17" s="20"/>
      <c r="X17" s="20"/>
      <c r="Y17" s="20"/>
      <c r="Z17" s="1"/>
      <c r="AA17" s="21" t="s">
        <v>167</v>
      </c>
      <c r="AB17" s="20"/>
      <c r="AC17" s="20"/>
      <c r="AD17" s="20"/>
      <c r="AE17" s="37"/>
      <c r="AF17" s="24"/>
      <c r="AG17" s="24"/>
      <c r="AH17" s="62">
        <f>0.521*$AG$4*$AF$9^4/($AM$5*1000*$AM$6/100000000*100)</f>
        <v>1.6152411479334679E-3</v>
      </c>
      <c r="AI17" s="62"/>
      <c r="AJ17" s="62"/>
      <c r="AK17" s="37" t="s">
        <v>160</v>
      </c>
      <c r="AL17" s="47" t="s">
        <v>164</v>
      </c>
      <c r="AM17" s="62">
        <f>+AH17*1000</f>
        <v>1.6152411479334678</v>
      </c>
      <c r="AN17" s="62"/>
      <c r="AO17" s="62"/>
      <c r="AP17" s="37" t="s">
        <v>165</v>
      </c>
      <c r="AQ17" s="37"/>
      <c r="AR17" s="44"/>
      <c r="AS17" s="37"/>
      <c r="AT17" s="37"/>
      <c r="AU17" s="37"/>
      <c r="AV17" s="37"/>
      <c r="AW17" s="37"/>
      <c r="AX17" s="37"/>
      <c r="AY17" s="37"/>
      <c r="AZ17" s="37"/>
      <c r="BA17" s="44"/>
      <c r="BB17" s="42"/>
    </row>
    <row r="18" spans="2:58">
      <c r="B18" s="38"/>
      <c r="C18" s="71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7" t="s">
        <v>158</v>
      </c>
      <c r="W18" s="7"/>
      <c r="X18" s="7"/>
      <c r="Y18" s="7"/>
      <c r="Z18" s="1"/>
      <c r="AA18" s="21" t="s">
        <v>167</v>
      </c>
      <c r="AB18" s="20"/>
      <c r="AC18" s="20"/>
      <c r="AD18" s="20"/>
      <c r="AE18" s="37"/>
      <c r="AF18" s="24"/>
      <c r="AG18" s="24"/>
      <c r="AH18" s="62">
        <f>0.521*$AG$4*$AF$9^4/($AM$5*1000*$AM$6/100000000*100)</f>
        <v>1.6152411479334679E-3</v>
      </c>
      <c r="AI18" s="62"/>
      <c r="AJ18" s="62"/>
      <c r="AK18" s="37" t="s">
        <v>160</v>
      </c>
      <c r="AL18" s="47" t="s">
        <v>164</v>
      </c>
      <c r="AM18" s="62">
        <f>+AH18*1000</f>
        <v>1.6152411479334678</v>
      </c>
      <c r="AN18" s="62"/>
      <c r="AO18" s="62"/>
      <c r="AP18" s="37" t="s">
        <v>165</v>
      </c>
      <c r="AQ18" s="37"/>
      <c r="AR18" s="44"/>
      <c r="AS18" s="37"/>
      <c r="AT18" s="37"/>
      <c r="AU18" s="37"/>
      <c r="AV18" s="37"/>
      <c r="AW18" s="37"/>
      <c r="AX18" s="37"/>
      <c r="AY18" s="37"/>
      <c r="AZ18" s="37"/>
      <c r="BA18" s="44"/>
      <c r="BB18" s="42"/>
    </row>
    <row r="19" spans="2:58">
      <c r="B19" s="38"/>
      <c r="C19" s="7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11"/>
      <c r="Z19" s="13"/>
      <c r="AA19" s="14"/>
      <c r="AB19" s="14"/>
      <c r="AC19" s="14"/>
      <c r="AD19" s="14"/>
      <c r="AE19" s="40"/>
      <c r="AF19" s="15"/>
      <c r="AG19" s="15"/>
      <c r="AH19" s="15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3"/>
      <c r="AT19" s="37"/>
      <c r="AU19" s="37"/>
      <c r="AV19" s="37"/>
      <c r="AW19" s="37"/>
      <c r="AX19" s="37"/>
      <c r="AY19" s="37"/>
      <c r="AZ19" s="37"/>
      <c r="BA19" s="44"/>
      <c r="BB19" s="42"/>
    </row>
    <row r="20" spans="2:58" ht="12" thickBot="1">
      <c r="B20" s="38"/>
      <c r="C20" s="71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5"/>
      <c r="O20" s="25"/>
      <c r="P20" s="25"/>
      <c r="Q20" s="10"/>
      <c r="R20" s="10"/>
      <c r="S20" s="10"/>
      <c r="T20" s="20"/>
      <c r="U20" s="20"/>
      <c r="V20" s="20" t="s">
        <v>17</v>
      </c>
      <c r="W20" s="20"/>
      <c r="X20" s="20"/>
      <c r="Y20" s="11"/>
      <c r="Z20" s="1"/>
      <c r="AA20" s="20" t="s">
        <v>18</v>
      </c>
      <c r="AB20" s="20"/>
      <c r="AC20" s="20"/>
      <c r="AD20" s="20"/>
      <c r="AE20" s="37"/>
      <c r="AF20" s="66">
        <f>0.096*$AG$4*$AF$9^2</f>
        <v>5.8320000000000007</v>
      </c>
      <c r="AG20" s="66"/>
      <c r="AH20" s="66"/>
      <c r="AI20" s="37" t="s">
        <v>161</v>
      </c>
      <c r="AJ20" s="37"/>
      <c r="AK20" s="37"/>
      <c r="AL20" s="37"/>
      <c r="AM20" s="37"/>
      <c r="AN20" s="37"/>
      <c r="AO20" s="37"/>
      <c r="AP20" s="37"/>
      <c r="AQ20" s="37"/>
      <c r="AR20" s="37"/>
      <c r="AS20" s="43"/>
      <c r="AT20" s="37"/>
      <c r="AU20" s="37"/>
      <c r="AV20" s="37"/>
      <c r="AW20" s="37"/>
      <c r="AX20" s="37"/>
      <c r="AY20" s="37"/>
      <c r="AZ20" s="37"/>
      <c r="BA20" s="44"/>
      <c r="BB20" s="42"/>
    </row>
    <row r="21" spans="2:58">
      <c r="B21" s="38"/>
      <c r="C21" s="71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7">
        <v>1</v>
      </c>
      <c r="P21" s="20"/>
      <c r="Q21" s="20"/>
      <c r="R21" s="27">
        <v>2</v>
      </c>
      <c r="S21" s="20"/>
      <c r="T21" s="20"/>
      <c r="U21" s="20"/>
      <c r="V21" s="20" t="s">
        <v>19</v>
      </c>
      <c r="W21" s="20"/>
      <c r="X21" s="20"/>
      <c r="Y21" s="11"/>
      <c r="Z21" s="1"/>
      <c r="AA21" s="26" t="s">
        <v>20</v>
      </c>
      <c r="AB21" s="20"/>
      <c r="AC21" s="20"/>
      <c r="AD21" s="20"/>
      <c r="AE21" s="37"/>
      <c r="AF21" s="66">
        <f>-0.063*$AG$4*$AF$9^2</f>
        <v>-3.8272499999999998</v>
      </c>
      <c r="AG21" s="66"/>
      <c r="AH21" s="66"/>
      <c r="AI21" s="37" t="s">
        <v>161</v>
      </c>
      <c r="AJ21" s="37"/>
      <c r="AK21" s="37"/>
      <c r="AL21" s="37"/>
      <c r="AM21" s="37"/>
      <c r="AN21" s="37"/>
      <c r="AO21" s="37"/>
      <c r="AP21" s="37"/>
      <c r="AQ21" s="37"/>
      <c r="AR21" s="37"/>
      <c r="AS21" s="43"/>
      <c r="AT21" s="19" t="s">
        <v>222</v>
      </c>
      <c r="AU21" s="37"/>
      <c r="AV21" s="37"/>
      <c r="AW21" s="37"/>
      <c r="AX21" s="37"/>
      <c r="AY21" s="37"/>
      <c r="AZ21" s="37"/>
      <c r="BA21" s="44"/>
      <c r="BB21" s="42"/>
    </row>
    <row r="22" spans="2:58">
      <c r="B22" s="38"/>
      <c r="C22" s="71"/>
      <c r="D22" s="20"/>
      <c r="E22" s="20"/>
      <c r="F22" s="20"/>
      <c r="G22" s="20"/>
      <c r="H22" s="20"/>
      <c r="I22" s="20"/>
      <c r="J22" s="20"/>
      <c r="K22" s="20"/>
      <c r="L22" s="20"/>
      <c r="M22" s="67" t="s">
        <v>8</v>
      </c>
      <c r="N22" s="67"/>
      <c r="O22" s="27"/>
      <c r="P22" s="67" t="s">
        <v>10</v>
      </c>
      <c r="Q22" s="67"/>
      <c r="R22" s="27"/>
      <c r="S22" s="67" t="s">
        <v>11</v>
      </c>
      <c r="T22" s="67"/>
      <c r="U22" s="20"/>
      <c r="V22" s="20" t="s">
        <v>21</v>
      </c>
      <c r="W22" s="20"/>
      <c r="X22" s="20"/>
      <c r="Y22" s="11"/>
      <c r="Z22" s="1"/>
      <c r="AA22" s="26" t="s">
        <v>22</v>
      </c>
      <c r="AB22" s="20"/>
      <c r="AC22" s="20"/>
      <c r="AD22" s="20"/>
      <c r="AE22" s="37"/>
      <c r="AF22" s="66">
        <f>0.438*$AG$4*$AF$9</f>
        <v>5.9130000000000003</v>
      </c>
      <c r="AG22" s="66"/>
      <c r="AH22" s="66"/>
      <c r="AI22" s="37" t="s">
        <v>162</v>
      </c>
      <c r="AJ22" s="37"/>
      <c r="AK22" s="37"/>
      <c r="AL22" s="37"/>
      <c r="AM22" s="37"/>
      <c r="AN22" s="37"/>
      <c r="AO22" s="37"/>
      <c r="AP22" s="37"/>
      <c r="AQ22" s="37"/>
      <c r="AR22" s="37"/>
      <c r="AS22" s="43"/>
      <c r="AT22" s="19" t="s">
        <v>221</v>
      </c>
      <c r="AW22" s="70">
        <f>MAX(ABS(AM17),ABS(AM18),ABS(AN23),ABS(AN24),ABS(AN30),ABS(AN31))</f>
        <v>2.8274470766129034</v>
      </c>
      <c r="AX22" s="70"/>
      <c r="AY22" s="70"/>
      <c r="AZ22" s="35" t="s">
        <v>165</v>
      </c>
      <c r="BA22" s="44"/>
      <c r="BB22" s="42"/>
      <c r="BF22" s="19"/>
    </row>
    <row r="23" spans="2:58">
      <c r="B23" s="38"/>
      <c r="C23" s="71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7"/>
      <c r="O23" s="27" t="s">
        <v>14</v>
      </c>
      <c r="P23" s="20"/>
      <c r="Q23" s="28"/>
      <c r="R23" s="27" t="str">
        <f>+O23</f>
        <v>L</v>
      </c>
      <c r="S23" s="20"/>
      <c r="T23" s="20"/>
      <c r="U23" s="20"/>
      <c r="V23" s="19" t="s">
        <v>157</v>
      </c>
      <c r="W23" s="20"/>
      <c r="X23" s="20"/>
      <c r="Y23" s="20"/>
      <c r="Z23" s="1"/>
      <c r="AA23" s="21" t="s">
        <v>168</v>
      </c>
      <c r="AB23" s="20"/>
      <c r="AC23" s="20"/>
      <c r="AD23" s="20"/>
      <c r="AE23" s="37"/>
      <c r="AF23" s="24"/>
      <c r="AG23" s="24"/>
      <c r="AH23" s="24"/>
      <c r="AI23" s="62">
        <f>0.912*$AG$4*$AF$9^4/($AM$5*1000*$AM$6/100000000*100)</f>
        <v>2.8274470766129034E-3</v>
      </c>
      <c r="AJ23" s="62"/>
      <c r="AK23" s="62"/>
      <c r="AL23" s="37" t="s">
        <v>160</v>
      </c>
      <c r="AM23" s="56" t="s">
        <v>164</v>
      </c>
      <c r="AN23" s="62">
        <f>+AI23*1000</f>
        <v>2.8274470766129034</v>
      </c>
      <c r="AO23" s="62"/>
      <c r="AP23" s="62"/>
      <c r="AQ23" s="37" t="s">
        <v>165</v>
      </c>
      <c r="AR23" s="37"/>
      <c r="AS23" s="43"/>
      <c r="AU23" s="37"/>
      <c r="AV23" s="37"/>
      <c r="AW23" s="61" t="str">
        <f>IF(AQ8&gt;AW22,"uygun.","uygun değil.")</f>
        <v>uygun.</v>
      </c>
      <c r="AX23" s="37"/>
      <c r="AY23" s="37"/>
      <c r="AZ23" s="37"/>
      <c r="BA23" s="44"/>
      <c r="BB23" s="42"/>
    </row>
    <row r="24" spans="2:58">
      <c r="B24" s="38"/>
      <c r="C24" s="7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  <c r="O24" s="27"/>
      <c r="P24" s="20"/>
      <c r="Q24" s="28"/>
      <c r="R24" s="27"/>
      <c r="S24" s="20"/>
      <c r="T24" s="20"/>
      <c r="U24" s="20"/>
      <c r="V24" s="19" t="s">
        <v>158</v>
      </c>
      <c r="W24" s="20"/>
      <c r="X24" s="20"/>
      <c r="Y24" s="20"/>
      <c r="Z24" s="1"/>
      <c r="AA24" s="21" t="s">
        <v>169</v>
      </c>
      <c r="AB24" s="20"/>
      <c r="AC24" s="20"/>
      <c r="AD24" s="20"/>
      <c r="AE24" s="37"/>
      <c r="AF24" s="24"/>
      <c r="AG24" s="24"/>
      <c r="AH24" s="24"/>
      <c r="AI24" s="62">
        <f>-0.391*$AG$4*$AF$9^4/($AM$5*1000*$AM$6/100000000*100)</f>
        <v>-1.2122059286794355E-3</v>
      </c>
      <c r="AJ24" s="62"/>
      <c r="AK24" s="62"/>
      <c r="AL24" s="37" t="s">
        <v>160</v>
      </c>
      <c r="AM24" s="56" t="s">
        <v>164</v>
      </c>
      <c r="AN24" s="62">
        <f>+AI24*1000</f>
        <v>-1.2122059286794356</v>
      </c>
      <c r="AO24" s="62"/>
      <c r="AP24" s="62"/>
      <c r="AQ24" s="37" t="s">
        <v>165</v>
      </c>
      <c r="AR24" s="37"/>
      <c r="AS24" s="43"/>
      <c r="AT24" s="37"/>
      <c r="AU24" s="37"/>
      <c r="AV24" s="37"/>
      <c r="AW24" s="37"/>
      <c r="AX24" s="37"/>
      <c r="AY24" s="37"/>
      <c r="AZ24" s="37"/>
      <c r="BA24" s="44"/>
      <c r="BB24" s="42"/>
    </row>
    <row r="25" spans="2:58">
      <c r="B25" s="38"/>
      <c r="C25" s="71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  <c r="O25" s="27"/>
      <c r="P25" s="20"/>
      <c r="Q25" s="28"/>
      <c r="R25" s="27"/>
      <c r="S25" s="20"/>
      <c r="T25" s="20"/>
      <c r="U25" s="20"/>
      <c r="V25" s="20"/>
      <c r="W25" s="20"/>
      <c r="X25" s="20"/>
      <c r="Y25" s="11"/>
      <c r="Z25" s="1"/>
      <c r="AA25" s="20"/>
      <c r="AB25" s="20"/>
      <c r="AC25" s="20"/>
      <c r="AD25" s="20"/>
      <c r="AE25" s="37"/>
      <c r="AF25" s="24"/>
      <c r="AG25" s="24"/>
      <c r="AH25" s="24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43"/>
      <c r="AT25" s="37"/>
      <c r="AU25" s="37"/>
      <c r="AV25" s="37"/>
      <c r="AW25" s="37"/>
      <c r="AX25" s="37"/>
      <c r="AY25" s="37"/>
      <c r="AZ25" s="37"/>
      <c r="BA25" s="44"/>
      <c r="BB25" s="42"/>
    </row>
    <row r="26" spans="2:58">
      <c r="B26" s="38"/>
      <c r="C26" s="71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12"/>
      <c r="Z26" s="6"/>
      <c r="AA26" s="7"/>
      <c r="AB26" s="7"/>
      <c r="AC26" s="7"/>
      <c r="AD26" s="7"/>
      <c r="AE26" s="48"/>
      <c r="AF26" s="8"/>
      <c r="AG26" s="8"/>
      <c r="AH26" s="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3"/>
      <c r="AT26" s="37"/>
      <c r="AU26" s="37"/>
      <c r="AV26" s="37"/>
      <c r="AW26" s="37"/>
      <c r="AX26" s="37"/>
      <c r="AY26" s="37"/>
      <c r="AZ26" s="37"/>
      <c r="BA26" s="44"/>
      <c r="BB26" s="42"/>
    </row>
    <row r="27" spans="2:58">
      <c r="B27" s="38"/>
      <c r="C27" s="71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20"/>
      <c r="Z27" s="1"/>
      <c r="AA27" s="20"/>
      <c r="AB27" s="20"/>
      <c r="AC27" s="20"/>
      <c r="AD27" s="20"/>
      <c r="AE27" s="37"/>
      <c r="AF27" s="24"/>
      <c r="AG27" s="24"/>
      <c r="AH27" s="24"/>
      <c r="AI27" s="37"/>
      <c r="AJ27" s="37"/>
      <c r="AK27" s="37"/>
      <c r="AL27" s="37"/>
      <c r="AM27" s="37"/>
      <c r="AN27" s="37"/>
      <c r="AO27" s="37"/>
      <c r="AP27" s="37"/>
      <c r="AQ27" s="37"/>
      <c r="AR27" s="44"/>
      <c r="AS27" s="37"/>
      <c r="AT27" s="37"/>
      <c r="AU27" s="37"/>
      <c r="AV27" s="37"/>
      <c r="AW27" s="37"/>
      <c r="AX27" s="37"/>
      <c r="AY27" s="37"/>
      <c r="AZ27" s="37"/>
      <c r="BA27" s="44"/>
      <c r="BB27" s="42"/>
    </row>
    <row r="28" spans="2:58" ht="12" thickBot="1">
      <c r="B28" s="38"/>
      <c r="C28" s="7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0"/>
      <c r="O28" s="10"/>
      <c r="P28" s="10"/>
      <c r="Q28" s="16"/>
      <c r="R28" s="16"/>
      <c r="S28" s="16"/>
      <c r="T28" s="20"/>
      <c r="U28" s="20"/>
      <c r="V28" s="20" t="s">
        <v>23</v>
      </c>
      <c r="W28" s="20"/>
      <c r="X28" s="20"/>
      <c r="Y28" s="20"/>
      <c r="Z28" s="1"/>
      <c r="AA28" s="29" t="s">
        <v>24</v>
      </c>
      <c r="AB28" s="20"/>
      <c r="AC28" s="20"/>
      <c r="AD28" s="20"/>
      <c r="AE28" s="37"/>
      <c r="AF28" s="74"/>
      <c r="AG28" s="66"/>
      <c r="AH28" s="66"/>
      <c r="AI28" s="37"/>
      <c r="AJ28" s="37"/>
      <c r="AK28" s="37"/>
      <c r="AL28" s="37"/>
      <c r="AM28" s="37"/>
      <c r="AN28" s="37"/>
      <c r="AO28" s="37"/>
      <c r="AP28" s="37"/>
      <c r="AQ28" s="37"/>
      <c r="AR28" s="44"/>
      <c r="AS28" s="37"/>
      <c r="AT28" s="37"/>
      <c r="AU28" s="37"/>
      <c r="AV28" s="37"/>
      <c r="AW28" s="37"/>
      <c r="AX28" s="37"/>
      <c r="AY28" s="37"/>
      <c r="AZ28" s="37"/>
      <c r="BA28" s="44"/>
      <c r="BB28" s="42"/>
    </row>
    <row r="29" spans="2:58">
      <c r="B29" s="38"/>
      <c r="C29" s="71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7">
        <v>1</v>
      </c>
      <c r="P29" s="20"/>
      <c r="Q29" s="20"/>
      <c r="R29" s="27">
        <v>2</v>
      </c>
      <c r="S29" s="20"/>
      <c r="T29" s="20"/>
      <c r="U29" s="20"/>
      <c r="V29" s="20" t="s">
        <v>25</v>
      </c>
      <c r="W29" s="20"/>
      <c r="X29" s="20"/>
      <c r="Y29" s="20"/>
      <c r="Z29" s="1"/>
      <c r="AA29" s="26" t="s">
        <v>26</v>
      </c>
      <c r="AB29" s="20"/>
      <c r="AC29" s="20"/>
      <c r="AD29" s="20"/>
      <c r="AE29" s="37"/>
      <c r="AF29" s="66">
        <f>-0.063*$AG$4*$AF$9</f>
        <v>-0.85050000000000003</v>
      </c>
      <c r="AG29" s="66"/>
      <c r="AH29" s="66"/>
      <c r="AI29" s="37" t="s">
        <v>162</v>
      </c>
      <c r="AJ29" s="37"/>
      <c r="AK29" s="37"/>
      <c r="AL29" s="37"/>
      <c r="AM29" s="37"/>
      <c r="AN29" s="37"/>
      <c r="AO29" s="37"/>
      <c r="AP29" s="37"/>
      <c r="AQ29" s="37"/>
      <c r="AR29" s="44"/>
      <c r="AS29" s="37"/>
      <c r="AT29" s="37"/>
      <c r="AU29" s="37"/>
      <c r="AV29" s="37"/>
      <c r="AW29" s="37"/>
      <c r="AX29" s="37"/>
      <c r="AY29" s="37"/>
      <c r="AZ29" s="37"/>
      <c r="BA29" s="44"/>
      <c r="BB29" s="42"/>
    </row>
    <row r="30" spans="2:58">
      <c r="B30" s="38"/>
      <c r="C30" s="71"/>
      <c r="D30" s="20"/>
      <c r="E30" s="20"/>
      <c r="F30" s="20"/>
      <c r="G30" s="20"/>
      <c r="H30" s="20"/>
      <c r="I30" s="20"/>
      <c r="J30" s="20"/>
      <c r="K30" s="20"/>
      <c r="L30" s="20"/>
      <c r="M30" s="67" t="s">
        <v>8</v>
      </c>
      <c r="N30" s="67"/>
      <c r="O30" s="27"/>
      <c r="P30" s="67" t="s">
        <v>10</v>
      </c>
      <c r="Q30" s="67"/>
      <c r="R30" s="27"/>
      <c r="S30" s="67" t="s">
        <v>11</v>
      </c>
      <c r="T30" s="67"/>
      <c r="U30" s="20"/>
      <c r="V30" s="19" t="s">
        <v>157</v>
      </c>
      <c r="W30" s="20"/>
      <c r="X30" s="20"/>
      <c r="Y30" s="20"/>
      <c r="Z30" s="1"/>
      <c r="AA30" s="21" t="s">
        <v>169</v>
      </c>
      <c r="AB30" s="20"/>
      <c r="AC30" s="20"/>
      <c r="AD30" s="20"/>
      <c r="AE30" s="37"/>
      <c r="AF30" s="24"/>
      <c r="AG30" s="24"/>
      <c r="AH30" s="24"/>
      <c r="AI30" s="62">
        <f>-0.391*$AG$4*$AF$9^4/($AM$5*1000*$AM$6/100000000*100)</f>
        <v>-1.2122059286794355E-3</v>
      </c>
      <c r="AJ30" s="62"/>
      <c r="AK30" s="62"/>
      <c r="AL30" s="37" t="s">
        <v>160</v>
      </c>
      <c r="AM30" s="56" t="s">
        <v>164</v>
      </c>
      <c r="AN30" s="62">
        <f>+AI30*1000</f>
        <v>-1.2122059286794356</v>
      </c>
      <c r="AO30" s="62"/>
      <c r="AP30" s="62"/>
      <c r="AQ30" s="37" t="s">
        <v>165</v>
      </c>
      <c r="AR30" s="44"/>
      <c r="AS30" s="37"/>
      <c r="AT30" s="37"/>
      <c r="AU30" s="37"/>
      <c r="AV30" s="37"/>
      <c r="AW30" s="37"/>
      <c r="AX30" s="37"/>
      <c r="AY30" s="37"/>
      <c r="AZ30" s="37"/>
      <c r="BA30" s="44"/>
      <c r="BB30" s="42"/>
    </row>
    <row r="31" spans="2:58">
      <c r="B31" s="38"/>
      <c r="C31" s="71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7"/>
      <c r="O31" s="27" t="s">
        <v>14</v>
      </c>
      <c r="P31" s="20"/>
      <c r="Q31" s="28"/>
      <c r="R31" s="27" t="str">
        <f>+O31</f>
        <v>L</v>
      </c>
      <c r="S31" s="20"/>
      <c r="T31" s="20"/>
      <c r="U31" s="20"/>
      <c r="V31" s="19" t="s">
        <v>158</v>
      </c>
      <c r="W31" s="20"/>
      <c r="X31" s="20"/>
      <c r="Y31" s="20"/>
      <c r="Z31" s="1"/>
      <c r="AA31" s="21" t="s">
        <v>168</v>
      </c>
      <c r="AB31" s="20"/>
      <c r="AC31" s="20"/>
      <c r="AD31" s="20"/>
      <c r="AE31" s="37"/>
      <c r="AF31" s="24"/>
      <c r="AG31" s="24"/>
      <c r="AH31" s="24"/>
      <c r="AI31" s="62">
        <f>0.912*$AG$4*$AF$9^4/($AM$5*1000*$AM$6/100000000*100)</f>
        <v>2.8274470766129034E-3</v>
      </c>
      <c r="AJ31" s="62"/>
      <c r="AK31" s="62"/>
      <c r="AL31" s="37" t="s">
        <v>160</v>
      </c>
      <c r="AM31" s="56" t="s">
        <v>164</v>
      </c>
      <c r="AN31" s="62">
        <f>+AI31*1000</f>
        <v>2.8274470766129034</v>
      </c>
      <c r="AO31" s="62"/>
      <c r="AP31" s="62"/>
      <c r="AQ31" s="37" t="s">
        <v>165</v>
      </c>
      <c r="AR31" s="44"/>
      <c r="AS31" s="37"/>
      <c r="AT31" s="37"/>
      <c r="AU31" s="37"/>
      <c r="AV31" s="37"/>
      <c r="AW31" s="37"/>
      <c r="AX31" s="37"/>
      <c r="AY31" s="37"/>
      <c r="AZ31" s="37"/>
      <c r="BA31" s="44"/>
      <c r="BB31" s="42"/>
    </row>
    <row r="32" spans="2:58" ht="12" thickBot="1">
      <c r="B32" s="38"/>
      <c r="C32" s="7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30"/>
      <c r="AA32" s="10"/>
      <c r="AB32" s="10"/>
      <c r="AC32" s="10"/>
      <c r="AD32" s="10"/>
      <c r="AE32" s="50"/>
      <c r="AF32" s="10"/>
      <c r="AG32" s="10"/>
      <c r="AH32" s="10"/>
      <c r="AI32" s="50"/>
      <c r="AJ32" s="50"/>
      <c r="AK32" s="50"/>
      <c r="AL32" s="50"/>
      <c r="AM32" s="50"/>
      <c r="AN32" s="50"/>
      <c r="AO32" s="50"/>
      <c r="AP32" s="50"/>
      <c r="AQ32" s="50"/>
      <c r="AR32" s="51"/>
      <c r="AS32" s="50"/>
      <c r="AT32" s="50"/>
      <c r="AU32" s="50"/>
      <c r="AV32" s="50"/>
      <c r="AW32" s="50"/>
      <c r="AX32" s="50"/>
      <c r="AY32" s="50"/>
      <c r="AZ32" s="50"/>
      <c r="BA32" s="51"/>
      <c r="BB32" s="42"/>
    </row>
    <row r="33" spans="2:54">
      <c r="B33" s="38"/>
      <c r="C33" s="71" t="s">
        <v>27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11"/>
      <c r="Z33" s="31"/>
      <c r="AA33" s="3"/>
      <c r="AB33" s="3"/>
      <c r="AC33" s="3"/>
      <c r="AD33" s="3"/>
      <c r="AE33" s="52"/>
      <c r="AF33" s="3"/>
      <c r="AG33" s="3"/>
      <c r="AH33" s="3"/>
      <c r="AI33" s="52"/>
      <c r="AJ33" s="52"/>
      <c r="AK33" s="52"/>
      <c r="AL33" s="52"/>
      <c r="AM33" s="52"/>
      <c r="AN33" s="52"/>
      <c r="AO33" s="52"/>
      <c r="AP33" s="52"/>
      <c r="AQ33" s="52"/>
      <c r="AR33" s="53"/>
      <c r="AS33" s="58"/>
      <c r="AT33" s="52"/>
      <c r="AU33" s="52"/>
      <c r="AV33" s="52"/>
      <c r="AW33" s="52"/>
      <c r="AX33" s="52"/>
      <c r="AY33" s="52"/>
      <c r="AZ33" s="52"/>
      <c r="BA33" s="53"/>
      <c r="BB33" s="42"/>
    </row>
    <row r="34" spans="2:54">
      <c r="B34" s="38"/>
      <c r="C34" s="71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 t="s">
        <v>4</v>
      </c>
      <c r="W34" s="20"/>
      <c r="X34" s="20"/>
      <c r="Y34" s="11"/>
      <c r="Z34" s="1"/>
      <c r="AA34" s="20" t="s">
        <v>28</v>
      </c>
      <c r="AB34" s="20"/>
      <c r="AC34" s="20"/>
      <c r="AD34" s="20"/>
      <c r="AE34" s="37"/>
      <c r="AF34" s="66">
        <f>0.08*$AG$4*$AF$9^2</f>
        <v>4.8599999999999994</v>
      </c>
      <c r="AG34" s="66"/>
      <c r="AH34" s="66"/>
      <c r="AI34" s="37" t="s">
        <v>161</v>
      </c>
      <c r="AJ34" s="37"/>
      <c r="AK34" s="37"/>
      <c r="AL34" s="37"/>
      <c r="AM34" s="37"/>
      <c r="AN34" s="37"/>
      <c r="AO34" s="37"/>
      <c r="AP34" s="37"/>
      <c r="AQ34" s="37"/>
      <c r="AR34" s="44"/>
      <c r="AS34" s="43"/>
      <c r="AT34" s="37"/>
      <c r="AU34" s="37"/>
      <c r="AV34" s="37"/>
      <c r="AW34" s="37"/>
      <c r="AX34" s="37"/>
      <c r="AY34" s="37"/>
      <c r="AZ34" s="37"/>
      <c r="BA34" s="44"/>
      <c r="BB34" s="42"/>
    </row>
    <row r="35" spans="2:54">
      <c r="B35" s="38"/>
      <c r="C35" s="71"/>
      <c r="D35" s="20"/>
      <c r="E35" s="20"/>
      <c r="F35" s="20"/>
      <c r="G35" s="20"/>
      <c r="H35" s="20"/>
      <c r="I35" s="20"/>
      <c r="J35" s="20"/>
      <c r="K35" s="25"/>
      <c r="L35" s="25"/>
      <c r="M35" s="25"/>
      <c r="N35" s="25"/>
      <c r="O35" s="25"/>
      <c r="P35" s="25"/>
      <c r="Q35" s="25"/>
      <c r="R35" s="25"/>
      <c r="S35" s="25"/>
      <c r="T35" s="20"/>
      <c r="U35" s="20"/>
      <c r="V35" s="20" t="s">
        <v>29</v>
      </c>
      <c r="W35" s="20"/>
      <c r="X35" s="20"/>
      <c r="Y35" s="11"/>
      <c r="Z35" s="1"/>
      <c r="AA35" s="20" t="s">
        <v>30</v>
      </c>
      <c r="AB35" s="20"/>
      <c r="AC35" s="20"/>
      <c r="AD35" s="20"/>
      <c r="AE35" s="37"/>
      <c r="AF35" s="66">
        <f>0.025*$AG$4*$AF$9^2</f>
        <v>1.5187500000000003</v>
      </c>
      <c r="AG35" s="66"/>
      <c r="AH35" s="66"/>
      <c r="AI35" s="37" t="s">
        <v>161</v>
      </c>
      <c r="AJ35" s="37"/>
      <c r="AK35" s="37"/>
      <c r="AL35" s="37"/>
      <c r="AM35" s="37"/>
      <c r="AN35" s="37"/>
      <c r="AO35" s="37"/>
      <c r="AP35" s="37"/>
      <c r="AQ35" s="37"/>
      <c r="AR35" s="44"/>
      <c r="AS35" s="43"/>
      <c r="AT35" s="37"/>
      <c r="AU35" s="37"/>
      <c r="AV35" s="37"/>
      <c r="AW35" s="37"/>
      <c r="AX35" s="37"/>
      <c r="AY35" s="37"/>
      <c r="AZ35" s="37"/>
      <c r="BA35" s="44"/>
      <c r="BB35" s="42"/>
    </row>
    <row r="36" spans="2:54">
      <c r="B36" s="38"/>
      <c r="C36" s="71"/>
      <c r="D36" s="20"/>
      <c r="E36" s="20"/>
      <c r="F36" s="20"/>
      <c r="G36" s="20"/>
      <c r="H36" s="20"/>
      <c r="I36" s="20"/>
      <c r="J36" s="20"/>
      <c r="K36" s="20"/>
      <c r="L36" s="27">
        <v>1</v>
      </c>
      <c r="M36" s="20"/>
      <c r="N36" s="20"/>
      <c r="O36" s="27">
        <v>2</v>
      </c>
      <c r="P36" s="20"/>
      <c r="Q36" s="20"/>
      <c r="R36" s="27">
        <v>3</v>
      </c>
      <c r="S36" s="20"/>
      <c r="T36" s="20"/>
      <c r="U36" s="20"/>
      <c r="V36" s="20" t="s">
        <v>19</v>
      </c>
      <c r="W36" s="20"/>
      <c r="X36" s="20"/>
      <c r="Y36" s="11"/>
      <c r="Z36" s="1"/>
      <c r="AA36" s="26" t="s">
        <v>31</v>
      </c>
      <c r="AB36" s="20"/>
      <c r="AC36" s="20"/>
      <c r="AD36" s="20"/>
      <c r="AE36" s="37"/>
      <c r="AF36" s="66">
        <f>-0.1*$AG$4*$AF$9^2</f>
        <v>-6.0750000000000011</v>
      </c>
      <c r="AG36" s="66"/>
      <c r="AH36" s="66"/>
      <c r="AI36" s="37" t="s">
        <v>161</v>
      </c>
      <c r="AJ36" s="37"/>
      <c r="AK36" s="37"/>
      <c r="AL36" s="37"/>
      <c r="AM36" s="37"/>
      <c r="AN36" s="37"/>
      <c r="AO36" s="37"/>
      <c r="AP36" s="37"/>
      <c r="AQ36" s="37"/>
      <c r="AR36" s="44"/>
      <c r="AS36" s="43"/>
      <c r="AT36" s="37"/>
      <c r="AU36" s="37"/>
      <c r="AV36" s="37"/>
      <c r="AW36" s="37"/>
      <c r="AX36" s="37"/>
      <c r="AY36" s="37"/>
      <c r="AZ36" s="37"/>
      <c r="BA36" s="44"/>
      <c r="BB36" s="42"/>
    </row>
    <row r="37" spans="2:54">
      <c r="B37" s="38"/>
      <c r="C37" s="71"/>
      <c r="D37" s="20"/>
      <c r="E37" s="20"/>
      <c r="F37" s="20"/>
      <c r="G37" s="20"/>
      <c r="H37" s="20"/>
      <c r="I37" s="20"/>
      <c r="J37" s="67" t="s">
        <v>8</v>
      </c>
      <c r="K37" s="67"/>
      <c r="L37" s="27"/>
      <c r="M37" s="67" t="s">
        <v>10</v>
      </c>
      <c r="N37" s="67"/>
      <c r="O37" s="27"/>
      <c r="P37" s="67" t="s">
        <v>11</v>
      </c>
      <c r="Q37" s="67"/>
      <c r="R37" s="27"/>
      <c r="S37" s="67" t="s">
        <v>32</v>
      </c>
      <c r="T37" s="67"/>
      <c r="U37" s="20"/>
      <c r="V37" s="20" t="s">
        <v>8</v>
      </c>
      <c r="W37" s="20"/>
      <c r="X37" s="20"/>
      <c r="Y37" s="11"/>
      <c r="Z37" s="1"/>
      <c r="AA37" s="20" t="s">
        <v>33</v>
      </c>
      <c r="AB37" s="20"/>
      <c r="AC37" s="20"/>
      <c r="AD37" s="20"/>
      <c r="AE37" s="37"/>
      <c r="AF37" s="66">
        <f>0.4*$AG$4*$AF$9</f>
        <v>5.4</v>
      </c>
      <c r="AG37" s="66"/>
      <c r="AH37" s="66"/>
      <c r="AI37" s="37" t="s">
        <v>162</v>
      </c>
      <c r="AJ37" s="37"/>
      <c r="AK37" s="37"/>
      <c r="AL37" s="37"/>
      <c r="AM37" s="37"/>
      <c r="AN37" s="37"/>
      <c r="AO37" s="37"/>
      <c r="AP37" s="37"/>
      <c r="AQ37" s="37"/>
      <c r="AR37" s="44"/>
      <c r="AS37" s="43"/>
      <c r="AT37" s="37"/>
      <c r="AU37" s="37"/>
      <c r="AV37" s="37"/>
      <c r="AW37" s="37"/>
      <c r="AX37" s="37"/>
      <c r="AY37" s="37"/>
      <c r="AZ37" s="37"/>
      <c r="BA37" s="44"/>
      <c r="BB37" s="42"/>
    </row>
    <row r="38" spans="2:54">
      <c r="B38" s="38"/>
      <c r="C38" s="71"/>
      <c r="D38" s="20"/>
      <c r="E38" s="20"/>
      <c r="F38" s="20"/>
      <c r="G38" s="20"/>
      <c r="H38" s="20"/>
      <c r="I38" s="20"/>
      <c r="J38" s="20"/>
      <c r="K38" s="27"/>
      <c r="L38" s="27" t="s">
        <v>14</v>
      </c>
      <c r="M38" s="20"/>
      <c r="N38" s="27"/>
      <c r="O38" s="27" t="s">
        <v>14</v>
      </c>
      <c r="P38" s="20"/>
      <c r="Q38" s="28"/>
      <c r="R38" s="27" t="str">
        <f>+O38</f>
        <v>L</v>
      </c>
      <c r="S38" s="20"/>
      <c r="T38" s="20"/>
      <c r="U38" s="20"/>
      <c r="V38" s="20" t="s">
        <v>10</v>
      </c>
      <c r="W38" s="20"/>
      <c r="X38" s="20"/>
      <c r="Y38" s="11"/>
      <c r="Z38" s="1"/>
      <c r="AA38" s="20" t="s">
        <v>34</v>
      </c>
      <c r="AB38" s="20"/>
      <c r="AC38" s="20"/>
      <c r="AD38" s="20"/>
      <c r="AE38" s="37"/>
      <c r="AF38" s="66">
        <f>1.1*$AG$4*$AF$9</f>
        <v>14.850000000000001</v>
      </c>
      <c r="AG38" s="66"/>
      <c r="AH38" s="66"/>
      <c r="AI38" s="37" t="s">
        <v>162</v>
      </c>
      <c r="AJ38" s="37"/>
      <c r="AK38" s="37"/>
      <c r="AL38" s="37"/>
      <c r="AM38" s="37"/>
      <c r="AN38" s="37"/>
      <c r="AO38" s="37"/>
      <c r="AP38" s="37"/>
      <c r="AQ38" s="37"/>
      <c r="AR38" s="44"/>
      <c r="AS38" s="43"/>
      <c r="AT38" s="37"/>
      <c r="AU38" s="37"/>
      <c r="AV38" s="37"/>
      <c r="AW38" s="37"/>
      <c r="AX38" s="37"/>
      <c r="AY38" s="37"/>
      <c r="AZ38" s="37"/>
      <c r="BA38" s="44"/>
      <c r="BB38" s="42"/>
    </row>
    <row r="39" spans="2:54">
      <c r="B39" s="38"/>
      <c r="C39" s="7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 t="s">
        <v>35</v>
      </c>
      <c r="W39" s="20"/>
      <c r="X39" s="20"/>
      <c r="Y39" s="11"/>
      <c r="Z39" s="1"/>
      <c r="AA39" s="26" t="s">
        <v>36</v>
      </c>
      <c r="AB39" s="20"/>
      <c r="AC39" s="20"/>
      <c r="AD39" s="20"/>
      <c r="AE39" s="37"/>
      <c r="AF39" s="66">
        <f>-0.6*$AG$4*$AF$9</f>
        <v>-8.1</v>
      </c>
      <c r="AG39" s="66"/>
      <c r="AH39" s="66"/>
      <c r="AI39" s="37" t="s">
        <v>162</v>
      </c>
      <c r="AJ39" s="37"/>
      <c r="AK39" s="37"/>
      <c r="AL39" s="37"/>
      <c r="AM39" s="37"/>
      <c r="AN39" s="37"/>
      <c r="AO39" s="37"/>
      <c r="AP39" s="37"/>
      <c r="AQ39" s="37"/>
      <c r="AR39" s="44"/>
      <c r="AS39" s="43"/>
      <c r="AT39" s="37"/>
      <c r="AU39" s="37"/>
      <c r="AV39" s="37"/>
      <c r="AW39" s="37"/>
      <c r="AX39" s="37"/>
      <c r="AY39" s="37"/>
      <c r="AZ39" s="37"/>
      <c r="BA39" s="44"/>
      <c r="BB39" s="42"/>
    </row>
    <row r="40" spans="2:54">
      <c r="B40" s="38"/>
      <c r="C40" s="7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 t="s">
        <v>37</v>
      </c>
      <c r="W40" s="20"/>
      <c r="X40" s="20"/>
      <c r="Y40" s="11"/>
      <c r="Z40" s="1"/>
      <c r="AA40" s="20" t="s">
        <v>38</v>
      </c>
      <c r="AB40" s="20"/>
      <c r="AC40" s="20"/>
      <c r="AD40" s="20"/>
      <c r="AE40" s="37"/>
      <c r="AF40" s="66">
        <f>0.5*$AG$4*$AF$9</f>
        <v>6.75</v>
      </c>
      <c r="AG40" s="66"/>
      <c r="AH40" s="66"/>
      <c r="AI40" s="37" t="s">
        <v>162</v>
      </c>
      <c r="AJ40" s="37"/>
      <c r="AK40" s="37"/>
      <c r="AL40" s="37"/>
      <c r="AM40" s="37"/>
      <c r="AN40" s="37"/>
      <c r="AO40" s="37"/>
      <c r="AP40" s="37"/>
      <c r="AQ40" s="37"/>
      <c r="AR40" s="44"/>
      <c r="AS40" s="43"/>
      <c r="AT40" s="37"/>
      <c r="AU40" s="37"/>
      <c r="AV40" s="37"/>
      <c r="AW40" s="37"/>
      <c r="AX40" s="37"/>
      <c r="AY40" s="37"/>
      <c r="AZ40" s="37"/>
      <c r="BA40" s="44"/>
      <c r="BB40" s="42"/>
    </row>
    <row r="41" spans="2:54">
      <c r="B41" s="38"/>
      <c r="C41" s="71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19" t="s">
        <v>157</v>
      </c>
      <c r="W41" s="20"/>
      <c r="X41" s="20"/>
      <c r="Y41" s="20"/>
      <c r="Z41" s="1"/>
      <c r="AA41" s="21" t="s">
        <v>170</v>
      </c>
      <c r="AB41" s="20"/>
      <c r="AC41" s="20"/>
      <c r="AD41" s="20"/>
      <c r="AE41" s="37"/>
      <c r="AF41" s="24"/>
      <c r="AG41" s="24"/>
      <c r="AH41" s="62">
        <f>0.677*$AG$4*$AF$9^4/($AM$5*1000*$AM$6/100000000*100)</f>
        <v>2.0988834110383069E-3</v>
      </c>
      <c r="AI41" s="62"/>
      <c r="AJ41" s="62"/>
      <c r="AK41" s="37" t="s">
        <v>160</v>
      </c>
      <c r="AL41" s="47" t="s">
        <v>164</v>
      </c>
      <c r="AM41" s="62">
        <f>+AH41*1000</f>
        <v>2.0988834110383068</v>
      </c>
      <c r="AN41" s="62"/>
      <c r="AO41" s="62"/>
      <c r="AP41" s="37" t="s">
        <v>165</v>
      </c>
      <c r="AQ41" s="37"/>
      <c r="AR41" s="44"/>
      <c r="AS41" s="43"/>
      <c r="AT41" s="37"/>
      <c r="AU41" s="37"/>
      <c r="AV41" s="37"/>
      <c r="AW41" s="37"/>
      <c r="AX41" s="37"/>
      <c r="AY41" s="37"/>
      <c r="AZ41" s="37"/>
      <c r="BA41" s="44"/>
      <c r="BB41" s="42"/>
    </row>
    <row r="42" spans="2:54">
      <c r="B42" s="38"/>
      <c r="C42" s="71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19" t="s">
        <v>158</v>
      </c>
      <c r="W42" s="20"/>
      <c r="X42" s="20"/>
      <c r="Y42" s="20"/>
      <c r="Z42" s="1"/>
      <c r="AA42" s="21" t="s">
        <v>171</v>
      </c>
      <c r="AB42" s="20"/>
      <c r="AC42" s="20"/>
      <c r="AD42" s="20"/>
      <c r="AE42" s="37"/>
      <c r="AF42" s="24"/>
      <c r="AG42" s="24"/>
      <c r="AH42" s="62">
        <f>0.052*$AG$4*$AF$9^4/($AM$5*1000*$AM$6/100000000*100)</f>
        <v>1.6121408770161289E-4</v>
      </c>
      <c r="AI42" s="62"/>
      <c r="AJ42" s="62"/>
      <c r="AK42" s="37" t="s">
        <v>160</v>
      </c>
      <c r="AL42" s="47" t="s">
        <v>164</v>
      </c>
      <c r="AM42" s="62">
        <f>+AH42*1000</f>
        <v>0.16121408770161288</v>
      </c>
      <c r="AN42" s="62"/>
      <c r="AO42" s="62"/>
      <c r="AP42" s="37" t="s">
        <v>165</v>
      </c>
      <c r="AQ42" s="37"/>
      <c r="AR42" s="44"/>
      <c r="AS42" s="43"/>
      <c r="AT42" s="37"/>
      <c r="AU42" s="37"/>
      <c r="AV42" s="37"/>
      <c r="AW42" s="37"/>
      <c r="AX42" s="37"/>
      <c r="AY42" s="37"/>
      <c r="AZ42" s="37"/>
      <c r="BA42" s="44"/>
      <c r="BB42" s="42"/>
    </row>
    <row r="43" spans="2:54">
      <c r="B43" s="38"/>
      <c r="C43" s="71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19" t="s">
        <v>166</v>
      </c>
      <c r="W43" s="20"/>
      <c r="X43" s="20"/>
      <c r="Y43" s="20"/>
      <c r="Z43" s="1"/>
      <c r="AA43" s="21" t="s">
        <v>170</v>
      </c>
      <c r="AB43" s="20"/>
      <c r="AC43" s="20"/>
      <c r="AD43" s="20"/>
      <c r="AE43" s="37"/>
      <c r="AF43" s="24"/>
      <c r="AG43" s="24"/>
      <c r="AH43" s="62">
        <f>0.677*$AG$4*$AF$9^4/($AM$5*1000*$AM$6/100000000*100)</f>
        <v>2.0988834110383069E-3</v>
      </c>
      <c r="AI43" s="62"/>
      <c r="AJ43" s="62"/>
      <c r="AK43" s="37" t="s">
        <v>160</v>
      </c>
      <c r="AL43" s="47" t="s">
        <v>164</v>
      </c>
      <c r="AM43" s="62">
        <f>+AH43*1000</f>
        <v>2.0988834110383068</v>
      </c>
      <c r="AN43" s="62"/>
      <c r="AO43" s="62"/>
      <c r="AP43" s="37" t="s">
        <v>165</v>
      </c>
      <c r="AQ43" s="37"/>
      <c r="AR43" s="44"/>
      <c r="AS43" s="43"/>
      <c r="AT43" s="37"/>
      <c r="AU43" s="37"/>
      <c r="AV43" s="37"/>
      <c r="AW43" s="37"/>
      <c r="AX43" s="37"/>
      <c r="AY43" s="37"/>
      <c r="AZ43" s="37"/>
      <c r="BA43" s="44"/>
      <c r="BB43" s="42"/>
    </row>
    <row r="44" spans="2:54">
      <c r="B44" s="38"/>
      <c r="C44" s="7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12"/>
      <c r="Z44" s="6"/>
      <c r="AA44" s="7"/>
      <c r="AB44" s="7"/>
      <c r="AC44" s="7"/>
      <c r="AD44" s="7"/>
      <c r="AE44" s="48"/>
      <c r="AF44" s="7"/>
      <c r="AG44" s="7"/>
      <c r="AH44" s="7"/>
      <c r="AI44" s="48"/>
      <c r="AJ44" s="48"/>
      <c r="AK44" s="48"/>
      <c r="AL44" s="48"/>
      <c r="AM44" s="48"/>
      <c r="AN44" s="48"/>
      <c r="AO44" s="48"/>
      <c r="AP44" s="48"/>
      <c r="AQ44" s="48"/>
      <c r="AR44" s="49"/>
      <c r="AS44" s="43"/>
      <c r="AT44" s="37"/>
      <c r="AU44" s="37"/>
      <c r="AV44" s="37"/>
      <c r="AW44" s="37"/>
      <c r="AX44" s="37"/>
      <c r="AY44" s="37"/>
      <c r="AZ44" s="37"/>
      <c r="BA44" s="44"/>
      <c r="BB44" s="42"/>
    </row>
    <row r="45" spans="2:54">
      <c r="B45" s="38"/>
      <c r="C45" s="71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20"/>
      <c r="Z45" s="13"/>
      <c r="AA45" s="14"/>
      <c r="AB45" s="14"/>
      <c r="AC45" s="14"/>
      <c r="AD45" s="14"/>
      <c r="AE45" s="40"/>
      <c r="AF45" s="14"/>
      <c r="AG45" s="14"/>
      <c r="AH45" s="14"/>
      <c r="AI45" s="40"/>
      <c r="AJ45" s="40"/>
      <c r="AK45" s="40"/>
      <c r="AL45" s="40"/>
      <c r="AM45" s="40"/>
      <c r="AN45" s="40"/>
      <c r="AO45" s="40"/>
      <c r="AP45" s="40"/>
      <c r="AQ45" s="40"/>
      <c r="AR45" s="41"/>
      <c r="AS45" s="43"/>
      <c r="AT45" s="37"/>
      <c r="AU45" s="37"/>
      <c r="AV45" s="37"/>
      <c r="AW45" s="37"/>
      <c r="AX45" s="37"/>
      <c r="AY45" s="37"/>
      <c r="AZ45" s="37"/>
      <c r="BA45" s="44"/>
      <c r="BB45" s="42"/>
    </row>
    <row r="46" spans="2:54" ht="12" thickBot="1">
      <c r="B46" s="38"/>
      <c r="C46" s="71"/>
      <c r="D46" s="20"/>
      <c r="E46" s="20"/>
      <c r="F46" s="20"/>
      <c r="G46" s="20"/>
      <c r="H46" s="20"/>
      <c r="I46" s="20"/>
      <c r="J46" s="20"/>
      <c r="K46" s="25"/>
      <c r="L46" s="25"/>
      <c r="M46" s="25"/>
      <c r="N46" s="10"/>
      <c r="O46" s="10"/>
      <c r="P46" s="10"/>
      <c r="Q46" s="25"/>
      <c r="R46" s="25"/>
      <c r="S46" s="25"/>
      <c r="T46" s="20"/>
      <c r="U46" s="20"/>
      <c r="V46" s="20" t="s">
        <v>17</v>
      </c>
      <c r="W46" s="20"/>
      <c r="X46" s="20"/>
      <c r="Y46" s="20"/>
      <c r="Z46" s="1"/>
      <c r="AA46" s="20" t="s">
        <v>39</v>
      </c>
      <c r="AB46" s="20"/>
      <c r="AC46" s="20"/>
      <c r="AD46" s="20"/>
      <c r="AE46" s="37"/>
      <c r="AF46" s="66">
        <f>0.101*$AG$4*$AF$9^2</f>
        <v>6.1357500000000007</v>
      </c>
      <c r="AG46" s="66"/>
      <c r="AH46" s="66"/>
      <c r="AI46" s="37" t="s">
        <v>161</v>
      </c>
      <c r="AJ46" s="37"/>
      <c r="AK46" s="37"/>
      <c r="AL46" s="37"/>
      <c r="AM46" s="37"/>
      <c r="AN46" s="37"/>
      <c r="AO46" s="37"/>
      <c r="AP46" s="37"/>
      <c r="AQ46" s="37"/>
      <c r="AR46" s="44"/>
      <c r="AS46" s="43"/>
      <c r="AT46" s="37"/>
      <c r="AU46" s="37"/>
      <c r="AV46" s="37"/>
      <c r="AW46" s="37"/>
      <c r="AX46" s="37"/>
      <c r="AY46" s="37"/>
      <c r="AZ46" s="37"/>
      <c r="BA46" s="44"/>
      <c r="BB46" s="42"/>
    </row>
    <row r="47" spans="2:54">
      <c r="B47" s="38"/>
      <c r="C47" s="71"/>
      <c r="D47" s="20"/>
      <c r="E47" s="20"/>
      <c r="F47" s="20"/>
      <c r="G47" s="20"/>
      <c r="H47" s="20"/>
      <c r="I47" s="20"/>
      <c r="J47" s="20"/>
      <c r="K47" s="20"/>
      <c r="L47" s="27">
        <v>1</v>
      </c>
      <c r="M47" s="20"/>
      <c r="N47" s="20"/>
      <c r="O47" s="27">
        <v>2</v>
      </c>
      <c r="P47" s="20"/>
      <c r="Q47" s="20"/>
      <c r="R47" s="27">
        <v>3</v>
      </c>
      <c r="S47" s="20"/>
      <c r="T47" s="20"/>
      <c r="U47" s="20"/>
      <c r="V47" s="20" t="s">
        <v>40</v>
      </c>
      <c r="W47" s="20"/>
      <c r="X47" s="20"/>
      <c r="Y47" s="20"/>
      <c r="Z47" s="1"/>
      <c r="AA47" s="26" t="s">
        <v>41</v>
      </c>
      <c r="AB47" s="20"/>
      <c r="AC47" s="20"/>
      <c r="AD47" s="20"/>
      <c r="AE47" s="37"/>
      <c r="AF47" s="66">
        <f>-0.05*$AG$4*$AF$9^2</f>
        <v>-3.0375000000000005</v>
      </c>
      <c r="AG47" s="66"/>
      <c r="AH47" s="66"/>
      <c r="AI47" s="37" t="s">
        <v>161</v>
      </c>
      <c r="AJ47" s="37"/>
      <c r="AK47" s="37"/>
      <c r="AL47" s="37"/>
      <c r="AM47" s="37"/>
      <c r="AN47" s="37"/>
      <c r="AO47" s="37"/>
      <c r="AP47" s="37"/>
      <c r="AQ47" s="37"/>
      <c r="AR47" s="44"/>
      <c r="AS47" s="43"/>
      <c r="AT47" s="37"/>
      <c r="AU47" s="37"/>
      <c r="AV47" s="37"/>
      <c r="AW47" s="37"/>
      <c r="AX47" s="37"/>
      <c r="AY47" s="37"/>
      <c r="AZ47" s="37"/>
      <c r="BA47" s="44"/>
      <c r="BB47" s="42"/>
    </row>
    <row r="48" spans="2:54">
      <c r="B48" s="38"/>
      <c r="C48" s="71"/>
      <c r="D48" s="20"/>
      <c r="E48" s="20"/>
      <c r="F48" s="20"/>
      <c r="G48" s="20"/>
      <c r="H48" s="20"/>
      <c r="I48" s="20"/>
      <c r="J48" s="67" t="s">
        <v>8</v>
      </c>
      <c r="K48" s="67"/>
      <c r="L48" s="27"/>
      <c r="M48" s="67" t="s">
        <v>10</v>
      </c>
      <c r="N48" s="67"/>
      <c r="O48" s="27"/>
      <c r="P48" s="67" t="s">
        <v>11</v>
      </c>
      <c r="Q48" s="67"/>
      <c r="R48" s="27"/>
      <c r="S48" s="67" t="s">
        <v>32</v>
      </c>
      <c r="T48" s="67"/>
      <c r="U48" s="20"/>
      <c r="V48" s="20" t="s">
        <v>19</v>
      </c>
      <c r="W48" s="20"/>
      <c r="X48" s="20"/>
      <c r="Y48" s="20"/>
      <c r="Z48" s="1"/>
      <c r="AA48" s="26" t="s">
        <v>41</v>
      </c>
      <c r="AB48" s="20"/>
      <c r="AC48" s="20"/>
      <c r="AD48" s="20"/>
      <c r="AE48" s="37"/>
      <c r="AF48" s="66">
        <f>-0.05*$AG$4*$AF$9^2</f>
        <v>-3.0375000000000005</v>
      </c>
      <c r="AG48" s="66"/>
      <c r="AH48" s="66"/>
      <c r="AI48" s="37" t="s">
        <v>161</v>
      </c>
      <c r="AJ48" s="37"/>
      <c r="AK48" s="37"/>
      <c r="AL48" s="37"/>
      <c r="AM48" s="37"/>
      <c r="AN48" s="37"/>
      <c r="AO48" s="37"/>
      <c r="AP48" s="37"/>
      <c r="AQ48" s="37"/>
      <c r="AR48" s="44"/>
      <c r="AS48" s="43"/>
      <c r="AT48" s="37"/>
      <c r="AU48" s="37"/>
      <c r="AV48" s="37"/>
      <c r="AW48" s="37"/>
      <c r="AX48" s="37"/>
      <c r="AY48" s="37"/>
      <c r="AZ48" s="37"/>
      <c r="BA48" s="44"/>
      <c r="BB48" s="42"/>
    </row>
    <row r="49" spans="2:54">
      <c r="B49" s="38"/>
      <c r="C49" s="71"/>
      <c r="D49" s="20"/>
      <c r="E49" s="20"/>
      <c r="F49" s="20"/>
      <c r="G49" s="20"/>
      <c r="H49" s="20"/>
      <c r="I49" s="20"/>
      <c r="J49" s="20"/>
      <c r="K49" s="27"/>
      <c r="L49" s="27" t="s">
        <v>14</v>
      </c>
      <c r="M49" s="20"/>
      <c r="N49" s="27"/>
      <c r="O49" s="27" t="s">
        <v>14</v>
      </c>
      <c r="P49" s="20"/>
      <c r="Q49" s="28"/>
      <c r="R49" s="27" t="str">
        <f>+O49</f>
        <v>L</v>
      </c>
      <c r="S49" s="20"/>
      <c r="T49" s="20"/>
      <c r="U49" s="20"/>
      <c r="V49" s="20" t="s">
        <v>21</v>
      </c>
      <c r="W49" s="20"/>
      <c r="X49" s="20"/>
      <c r="Y49" s="20"/>
      <c r="Z49" s="1"/>
      <c r="AA49" s="20" t="s">
        <v>42</v>
      </c>
      <c r="AB49" s="20"/>
      <c r="AC49" s="20"/>
      <c r="AD49" s="20"/>
      <c r="AE49" s="37"/>
      <c r="AF49" s="66">
        <f>0.45*$AG$4*$AF$9</f>
        <v>6.0750000000000002</v>
      </c>
      <c r="AG49" s="66"/>
      <c r="AH49" s="66"/>
      <c r="AI49" s="37" t="s">
        <v>162</v>
      </c>
      <c r="AJ49" s="37"/>
      <c r="AK49" s="37"/>
      <c r="AL49" s="37"/>
      <c r="AM49" s="37"/>
      <c r="AN49" s="37"/>
      <c r="AO49" s="37"/>
      <c r="AP49" s="37"/>
      <c r="AQ49" s="37"/>
      <c r="AR49" s="44"/>
      <c r="AS49" s="43"/>
      <c r="AT49" s="37"/>
      <c r="AU49" s="37"/>
      <c r="AV49" s="37"/>
      <c r="AW49" s="37"/>
      <c r="AX49" s="37"/>
      <c r="AY49" s="37"/>
      <c r="AZ49" s="37"/>
      <c r="BA49" s="44"/>
      <c r="BB49" s="42"/>
    </row>
    <row r="50" spans="2:54">
      <c r="B50" s="38"/>
      <c r="C50" s="71"/>
      <c r="D50" s="20"/>
      <c r="E50" s="20"/>
      <c r="F50" s="20"/>
      <c r="G50" s="20"/>
      <c r="H50" s="20"/>
      <c r="I50" s="20"/>
      <c r="J50" s="20"/>
      <c r="K50" s="27"/>
      <c r="L50" s="27"/>
      <c r="M50" s="20"/>
      <c r="N50" s="27"/>
      <c r="O50" s="27"/>
      <c r="P50" s="20"/>
      <c r="Q50" s="28"/>
      <c r="R50" s="27"/>
      <c r="S50" s="20"/>
      <c r="T50" s="20"/>
      <c r="U50" s="20"/>
      <c r="V50" s="19" t="s">
        <v>157</v>
      </c>
      <c r="W50" s="20"/>
      <c r="X50" s="20"/>
      <c r="Y50" s="20"/>
      <c r="Z50" s="1"/>
      <c r="AA50" s="21" t="s">
        <v>172</v>
      </c>
      <c r="AB50" s="20"/>
      <c r="AC50" s="20"/>
      <c r="AD50" s="20"/>
      <c r="AE50" s="37"/>
      <c r="AF50" s="24"/>
      <c r="AG50" s="24"/>
      <c r="AH50" s="24"/>
      <c r="AI50" s="62">
        <f>0.99*$AG$4*$AF$9^4/($AM$5*1000*$AM$6/100000000*100)</f>
        <v>3.0692682081653222E-3</v>
      </c>
      <c r="AJ50" s="62"/>
      <c r="AK50" s="62"/>
      <c r="AL50" s="37" t="s">
        <v>160</v>
      </c>
      <c r="AM50" s="56" t="s">
        <v>164</v>
      </c>
      <c r="AN50" s="62">
        <f>+AI50*1000</f>
        <v>3.0692682081653224</v>
      </c>
      <c r="AO50" s="62"/>
      <c r="AP50" s="62"/>
      <c r="AQ50" s="37" t="s">
        <v>165</v>
      </c>
      <c r="AR50" s="44"/>
      <c r="AS50" s="43"/>
      <c r="AT50" s="37"/>
      <c r="AU50" s="37"/>
      <c r="AV50" s="37"/>
      <c r="AW50" s="37"/>
      <c r="AX50" s="37"/>
      <c r="AY50" s="37"/>
      <c r="AZ50" s="37"/>
      <c r="BA50" s="44"/>
      <c r="BB50" s="42"/>
    </row>
    <row r="51" spans="2:54">
      <c r="B51" s="38"/>
      <c r="C51" s="71"/>
      <c r="D51" s="20"/>
      <c r="E51" s="20"/>
      <c r="F51" s="20"/>
      <c r="G51" s="20"/>
      <c r="H51" s="20"/>
      <c r="I51" s="20"/>
      <c r="J51" s="20"/>
      <c r="K51" s="27"/>
      <c r="L51" s="27"/>
      <c r="M51" s="20"/>
      <c r="N51" s="27"/>
      <c r="O51" s="27"/>
      <c r="P51" s="20"/>
      <c r="Q51" s="28"/>
      <c r="R51" s="27"/>
      <c r="S51" s="20"/>
      <c r="T51" s="20"/>
      <c r="U51" s="20"/>
      <c r="V51" s="19" t="s">
        <v>158</v>
      </c>
      <c r="W51" s="20"/>
      <c r="X51" s="20"/>
      <c r="Y51" s="20"/>
      <c r="Z51" s="1"/>
      <c r="AA51" s="21" t="s">
        <v>173</v>
      </c>
      <c r="AB51" s="20"/>
      <c r="AC51" s="20"/>
      <c r="AD51" s="20"/>
      <c r="AE51" s="37"/>
      <c r="AF51" s="24"/>
      <c r="AG51" s="24"/>
      <c r="AH51" s="24"/>
      <c r="AI51" s="62">
        <f>-0.625*$AG$4*$AF$9^4/($AM$5*1000*$AM$6/100000000*100)</f>
        <v>-1.9376693233366935E-3</v>
      </c>
      <c r="AJ51" s="62"/>
      <c r="AK51" s="62"/>
      <c r="AL51" s="37" t="s">
        <v>160</v>
      </c>
      <c r="AM51" s="56" t="s">
        <v>164</v>
      </c>
      <c r="AN51" s="62">
        <f>+AI51*1000</f>
        <v>-1.9376693233366935</v>
      </c>
      <c r="AO51" s="62"/>
      <c r="AP51" s="62"/>
      <c r="AQ51" s="37" t="s">
        <v>165</v>
      </c>
      <c r="AR51" s="44"/>
      <c r="AS51" s="43"/>
      <c r="AT51" s="37"/>
      <c r="AU51" s="37"/>
      <c r="AV51" s="37"/>
      <c r="AW51" s="37"/>
      <c r="AX51" s="37"/>
      <c r="AY51" s="37"/>
      <c r="AZ51" s="37"/>
      <c r="BA51" s="44"/>
      <c r="BB51" s="42"/>
    </row>
    <row r="52" spans="2:54">
      <c r="B52" s="38"/>
      <c r="C52" s="71"/>
      <c r="D52" s="20"/>
      <c r="E52" s="20"/>
      <c r="F52" s="20"/>
      <c r="G52" s="20"/>
      <c r="H52" s="20"/>
      <c r="I52" s="20"/>
      <c r="J52" s="20"/>
      <c r="K52" s="27"/>
      <c r="L52" s="27"/>
      <c r="M52" s="20"/>
      <c r="N52" s="27"/>
      <c r="O52" s="27"/>
      <c r="P52" s="20"/>
      <c r="Q52" s="28"/>
      <c r="R52" s="27"/>
      <c r="S52" s="20"/>
      <c r="T52" s="20"/>
      <c r="U52" s="20"/>
      <c r="V52" s="19" t="s">
        <v>166</v>
      </c>
      <c r="W52" s="20"/>
      <c r="X52" s="20"/>
      <c r="Y52" s="20"/>
      <c r="Z52" s="1"/>
      <c r="AA52" s="21" t="s">
        <v>172</v>
      </c>
      <c r="AB52" s="20"/>
      <c r="AC52" s="20"/>
      <c r="AD52" s="20"/>
      <c r="AE52" s="37"/>
      <c r="AF52" s="24"/>
      <c r="AG52" s="24"/>
      <c r="AH52" s="24"/>
      <c r="AI52" s="62">
        <f>0.99*$AG$4*$AF$9^4/($AM$5*1000*$AM$6/100000000*100)</f>
        <v>3.0692682081653222E-3</v>
      </c>
      <c r="AJ52" s="62"/>
      <c r="AK52" s="62"/>
      <c r="AL52" s="37" t="s">
        <v>160</v>
      </c>
      <c r="AM52" s="56" t="s">
        <v>164</v>
      </c>
      <c r="AN52" s="62">
        <f>+AI52*1000</f>
        <v>3.0692682081653224</v>
      </c>
      <c r="AO52" s="62"/>
      <c r="AP52" s="62"/>
      <c r="AQ52" s="37" t="s">
        <v>165</v>
      </c>
      <c r="AR52" s="44"/>
      <c r="AS52" s="43"/>
      <c r="AT52" s="19" t="s">
        <v>222</v>
      </c>
      <c r="AU52" s="37"/>
      <c r="AV52" s="37"/>
      <c r="AW52" s="37"/>
      <c r="AX52" s="37"/>
      <c r="AY52" s="37"/>
      <c r="AZ52" s="37"/>
      <c r="BA52" s="44"/>
      <c r="BB52" s="42"/>
    </row>
    <row r="53" spans="2:54">
      <c r="B53" s="38"/>
      <c r="C53" s="71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20"/>
      <c r="Z53" s="6"/>
      <c r="AA53" s="7"/>
      <c r="AB53" s="7"/>
      <c r="AC53" s="7"/>
      <c r="AD53" s="7"/>
      <c r="AE53" s="48"/>
      <c r="AF53" s="7"/>
      <c r="AG53" s="7"/>
      <c r="AH53" s="7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43"/>
      <c r="AT53" s="19" t="s">
        <v>221</v>
      </c>
      <c r="AU53" s="37"/>
      <c r="AV53" s="37"/>
      <c r="AW53" s="62">
        <f>MAX(ABS(AM41),ABS(AM42),ABS(AM43),ABS(AN50),ABS(AN51),ABS(AN52),ABS(AN59),ABS(AN60),ABS(AN61),ABS(AN69),ABS(AN70),ABS(AN71),ABS(AN77),ABS(AN78),ABS(AN79))</f>
        <v>3.0692682081653224</v>
      </c>
      <c r="AX53" s="62"/>
      <c r="AY53" s="62"/>
      <c r="AZ53" s="37" t="s">
        <v>165</v>
      </c>
      <c r="BA53" s="44"/>
      <c r="BB53" s="42"/>
    </row>
    <row r="54" spans="2:54">
      <c r="B54" s="38"/>
      <c r="C54" s="71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9"/>
      <c r="Z54" s="13"/>
      <c r="AA54" s="14"/>
      <c r="AB54" s="14"/>
      <c r="AC54" s="14"/>
      <c r="AD54" s="14"/>
      <c r="AE54" s="40"/>
      <c r="AF54" s="14"/>
      <c r="AG54" s="14"/>
      <c r="AH54" s="14"/>
      <c r="AI54" s="40"/>
      <c r="AJ54" s="40"/>
      <c r="AK54" s="40"/>
      <c r="AL54" s="40"/>
      <c r="AM54" s="40"/>
      <c r="AN54" s="40"/>
      <c r="AO54" s="40"/>
      <c r="AP54" s="40"/>
      <c r="AQ54" s="40"/>
      <c r="AR54" s="41"/>
      <c r="AS54" s="43"/>
      <c r="AT54" s="37"/>
      <c r="AU54" s="37"/>
      <c r="AV54" s="37"/>
      <c r="AW54" s="61" t="str">
        <f>IF(AQ8&gt;AW53,"uygun.","uygun değil.")</f>
        <v>uygun.</v>
      </c>
      <c r="AX54" s="37"/>
      <c r="AY54" s="37"/>
      <c r="AZ54" s="37"/>
      <c r="BA54" s="44"/>
      <c r="BB54" s="42"/>
    </row>
    <row r="55" spans="2:54" ht="12" thickBot="1">
      <c r="B55" s="38"/>
      <c r="C55" s="71"/>
      <c r="D55" s="20"/>
      <c r="E55" s="20"/>
      <c r="F55" s="20"/>
      <c r="G55" s="20"/>
      <c r="H55" s="20"/>
      <c r="I55" s="20"/>
      <c r="J55" s="20"/>
      <c r="K55" s="10"/>
      <c r="L55" s="10"/>
      <c r="M55" s="10"/>
      <c r="N55" s="25"/>
      <c r="O55" s="25"/>
      <c r="P55" s="25"/>
      <c r="Q55" s="10"/>
      <c r="R55" s="10"/>
      <c r="S55" s="10"/>
      <c r="T55" s="20"/>
      <c r="U55" s="20"/>
      <c r="V55" s="20" t="s">
        <v>23</v>
      </c>
      <c r="W55" s="20"/>
      <c r="X55" s="20"/>
      <c r="Y55" s="11"/>
      <c r="Z55" s="1"/>
      <c r="AA55" s="20"/>
      <c r="AB55" s="20"/>
      <c r="AC55" s="20"/>
      <c r="AD55" s="20"/>
      <c r="AE55" s="37"/>
      <c r="AF55" s="67"/>
      <c r="AG55" s="67"/>
      <c r="AH55" s="67"/>
      <c r="AI55" s="37"/>
      <c r="AJ55" s="37"/>
      <c r="AK55" s="37"/>
      <c r="AL55" s="37"/>
      <c r="AM55" s="37"/>
      <c r="AN55" s="37"/>
      <c r="AO55" s="37"/>
      <c r="AP55" s="37"/>
      <c r="AQ55" s="37"/>
      <c r="AR55" s="44"/>
      <c r="AS55" s="43"/>
      <c r="AT55" s="37"/>
      <c r="AU55" s="37"/>
      <c r="AV55" s="37"/>
      <c r="AW55" s="37"/>
      <c r="AX55" s="37"/>
      <c r="AY55" s="37"/>
      <c r="AZ55" s="37"/>
      <c r="BA55" s="44"/>
      <c r="BB55" s="42"/>
    </row>
    <row r="56" spans="2:54">
      <c r="B56" s="38"/>
      <c r="C56" s="71"/>
      <c r="D56" s="20"/>
      <c r="E56" s="20"/>
      <c r="F56" s="20"/>
      <c r="G56" s="20"/>
      <c r="H56" s="20"/>
      <c r="I56" s="20"/>
      <c r="J56" s="20"/>
      <c r="K56" s="20"/>
      <c r="L56" s="27">
        <v>1</v>
      </c>
      <c r="M56" s="20"/>
      <c r="N56" s="20"/>
      <c r="O56" s="27">
        <v>2</v>
      </c>
      <c r="P56" s="20"/>
      <c r="Q56" s="20"/>
      <c r="R56" s="27">
        <v>3</v>
      </c>
      <c r="S56" s="20"/>
      <c r="T56" s="20"/>
      <c r="U56" s="20"/>
      <c r="V56" s="20" t="s">
        <v>43</v>
      </c>
      <c r="W56" s="20"/>
      <c r="X56" s="20"/>
      <c r="Y56" s="11"/>
      <c r="Z56" s="1"/>
      <c r="AA56" s="20" t="s">
        <v>44</v>
      </c>
      <c r="AB56" s="20"/>
      <c r="AC56" s="20"/>
      <c r="AD56" s="20"/>
      <c r="AE56" s="37"/>
      <c r="AF56" s="66">
        <f>0.075*$AG$4*$AF$9^2</f>
        <v>4.5562499999999995</v>
      </c>
      <c r="AG56" s="66"/>
      <c r="AH56" s="66"/>
      <c r="AI56" s="37" t="s">
        <v>161</v>
      </c>
      <c r="AJ56" s="37"/>
      <c r="AK56" s="37"/>
      <c r="AL56" s="37"/>
      <c r="AM56" s="37"/>
      <c r="AN56" s="37"/>
      <c r="AO56" s="37"/>
      <c r="AP56" s="37"/>
      <c r="AQ56" s="37"/>
      <c r="AR56" s="44"/>
      <c r="AS56" s="43"/>
      <c r="AT56" s="37"/>
      <c r="AU56" s="37"/>
      <c r="AV56" s="37"/>
      <c r="AW56" s="37"/>
      <c r="AX56" s="37"/>
      <c r="AY56" s="37"/>
      <c r="AZ56" s="37"/>
      <c r="BA56" s="44"/>
      <c r="BB56" s="42"/>
    </row>
    <row r="57" spans="2:54">
      <c r="B57" s="38"/>
      <c r="C57" s="71"/>
      <c r="D57" s="20"/>
      <c r="E57" s="20"/>
      <c r="F57" s="20"/>
      <c r="G57" s="20"/>
      <c r="H57" s="20"/>
      <c r="I57" s="20"/>
      <c r="J57" s="67" t="s">
        <v>8</v>
      </c>
      <c r="K57" s="67"/>
      <c r="L57" s="27"/>
      <c r="M57" s="67" t="s">
        <v>10</v>
      </c>
      <c r="N57" s="67"/>
      <c r="O57" s="27"/>
      <c r="P57" s="67" t="s">
        <v>11</v>
      </c>
      <c r="Q57" s="67"/>
      <c r="R57" s="27"/>
      <c r="S57" s="67" t="s">
        <v>32</v>
      </c>
      <c r="T57" s="67"/>
      <c r="U57" s="20"/>
      <c r="V57" s="20" t="s">
        <v>19</v>
      </c>
      <c r="W57" s="20"/>
      <c r="X57" s="20"/>
      <c r="Y57" s="11"/>
      <c r="Z57" s="1"/>
      <c r="AA57" s="26" t="s">
        <v>41</v>
      </c>
      <c r="AB57" s="20"/>
      <c r="AC57" s="20"/>
      <c r="AD57" s="20"/>
      <c r="AE57" s="37"/>
      <c r="AF57" s="66">
        <f>-0.05*$AG$4*$AF$9^2</f>
        <v>-3.0375000000000005</v>
      </c>
      <c r="AG57" s="66"/>
      <c r="AH57" s="66"/>
      <c r="AI57" s="37" t="s">
        <v>161</v>
      </c>
      <c r="AJ57" s="37"/>
      <c r="AK57" s="37"/>
      <c r="AL57" s="37"/>
      <c r="AM57" s="37"/>
      <c r="AN57" s="37"/>
      <c r="AO57" s="37"/>
      <c r="AP57" s="37"/>
      <c r="AQ57" s="37"/>
      <c r="AR57" s="44"/>
      <c r="AS57" s="43"/>
      <c r="AT57" s="37"/>
      <c r="AU57" s="37"/>
      <c r="AV57" s="37"/>
      <c r="AW57" s="37"/>
      <c r="AX57" s="37"/>
      <c r="AY57" s="37"/>
      <c r="AZ57" s="37"/>
      <c r="BA57" s="44"/>
      <c r="BB57" s="42"/>
    </row>
    <row r="58" spans="2:54">
      <c r="B58" s="38"/>
      <c r="C58" s="71"/>
      <c r="D58" s="20"/>
      <c r="E58" s="20"/>
      <c r="F58" s="20"/>
      <c r="G58" s="20"/>
      <c r="H58" s="20"/>
      <c r="I58" s="20"/>
      <c r="J58" s="20"/>
      <c r="K58" s="27"/>
      <c r="L58" s="27" t="s">
        <v>14</v>
      </c>
      <c r="M58" s="20"/>
      <c r="N58" s="27"/>
      <c r="O58" s="27" t="s">
        <v>14</v>
      </c>
      <c r="P58" s="20"/>
      <c r="Q58" s="28"/>
      <c r="R58" s="27" t="str">
        <f>+O58</f>
        <v>L</v>
      </c>
      <c r="S58" s="20"/>
      <c r="T58" s="20"/>
      <c r="U58" s="20"/>
      <c r="V58" s="20" t="s">
        <v>25</v>
      </c>
      <c r="W58" s="20"/>
      <c r="X58" s="20"/>
      <c r="Y58" s="11"/>
      <c r="Z58" s="1"/>
      <c r="AA58" s="26" t="s">
        <v>45</v>
      </c>
      <c r="AB58" s="20"/>
      <c r="AC58" s="20"/>
      <c r="AD58" s="20"/>
      <c r="AE58" s="37"/>
      <c r="AF58" s="66">
        <f>-0.05*$AG$4*$AF$9</f>
        <v>-0.67500000000000004</v>
      </c>
      <c r="AG58" s="66"/>
      <c r="AH58" s="66"/>
      <c r="AI58" s="37" t="s">
        <v>162</v>
      </c>
      <c r="AJ58" s="37"/>
      <c r="AK58" s="37"/>
      <c r="AL58" s="37"/>
      <c r="AM58" s="37"/>
      <c r="AN58" s="37"/>
      <c r="AO58" s="37"/>
      <c r="AP58" s="37"/>
      <c r="AQ58" s="37"/>
      <c r="AR58" s="44"/>
      <c r="AS58" s="43"/>
      <c r="AT58" s="37"/>
      <c r="AU58" s="37"/>
      <c r="AV58" s="37"/>
      <c r="AW58" s="37"/>
      <c r="AX58" s="37"/>
      <c r="AY58" s="37"/>
      <c r="AZ58" s="37"/>
      <c r="BA58" s="44"/>
      <c r="BB58" s="42"/>
    </row>
    <row r="59" spans="2:54">
      <c r="B59" s="38"/>
      <c r="C59" s="71"/>
      <c r="D59" s="20"/>
      <c r="E59" s="20"/>
      <c r="F59" s="20"/>
      <c r="G59" s="20"/>
      <c r="H59" s="20"/>
      <c r="I59" s="20"/>
      <c r="J59" s="20"/>
      <c r="K59" s="27"/>
      <c r="L59" s="27"/>
      <c r="M59" s="20"/>
      <c r="N59" s="27"/>
      <c r="O59" s="27"/>
      <c r="P59" s="20"/>
      <c r="Q59" s="28"/>
      <c r="R59" s="27"/>
      <c r="S59" s="20"/>
      <c r="T59" s="20"/>
      <c r="U59" s="20"/>
      <c r="V59" s="19" t="s">
        <v>157</v>
      </c>
      <c r="W59" s="20"/>
      <c r="X59" s="20"/>
      <c r="Y59" s="20"/>
      <c r="Z59" s="1"/>
      <c r="AA59" s="21" t="s">
        <v>174</v>
      </c>
      <c r="AB59" s="20"/>
      <c r="AC59" s="20"/>
      <c r="AD59" s="20"/>
      <c r="AE59" s="37"/>
      <c r="AF59" s="24"/>
      <c r="AG59" s="24"/>
      <c r="AH59" s="24"/>
      <c r="AI59" s="62">
        <f>-0.313*$AG$4*$AF$9^4/($AM$5*1000*$AM$6/100000000*100)</f>
        <v>-9.7038479712701622E-4</v>
      </c>
      <c r="AJ59" s="62"/>
      <c r="AK59" s="62"/>
      <c r="AL59" s="37" t="s">
        <v>160</v>
      </c>
      <c r="AM59" s="56" t="s">
        <v>164</v>
      </c>
      <c r="AN59" s="62">
        <f>+AI59*1000</f>
        <v>-0.9703847971270162</v>
      </c>
      <c r="AO59" s="62"/>
      <c r="AP59" s="62"/>
      <c r="AQ59" s="37" t="s">
        <v>165</v>
      </c>
      <c r="AR59" s="44"/>
      <c r="AS59" s="43"/>
      <c r="AT59" s="37"/>
      <c r="AU59" s="37"/>
      <c r="AV59" s="37"/>
      <c r="AW59" s="37"/>
      <c r="AX59" s="37"/>
      <c r="AY59" s="37"/>
      <c r="AZ59" s="37"/>
      <c r="BA59" s="44"/>
      <c r="BB59" s="42"/>
    </row>
    <row r="60" spans="2:54">
      <c r="B60" s="38"/>
      <c r="C60" s="71"/>
      <c r="D60" s="20"/>
      <c r="E60" s="20"/>
      <c r="F60" s="20"/>
      <c r="G60" s="20"/>
      <c r="H60" s="20"/>
      <c r="I60" s="20"/>
      <c r="J60" s="20"/>
      <c r="K60" s="27"/>
      <c r="L60" s="27"/>
      <c r="M60" s="20"/>
      <c r="N60" s="27"/>
      <c r="O60" s="27"/>
      <c r="P60" s="20"/>
      <c r="Q60" s="28"/>
      <c r="R60" s="27"/>
      <c r="S60" s="20"/>
      <c r="T60" s="20"/>
      <c r="U60" s="20"/>
      <c r="V60" s="19" t="s">
        <v>158</v>
      </c>
      <c r="W60" s="20"/>
      <c r="X60" s="20"/>
      <c r="Y60" s="20"/>
      <c r="Z60" s="1"/>
      <c r="AA60" s="21" t="s">
        <v>170</v>
      </c>
      <c r="AB60" s="20"/>
      <c r="AC60" s="20"/>
      <c r="AD60" s="20"/>
      <c r="AE60" s="37"/>
      <c r="AF60" s="24"/>
      <c r="AG60" s="24"/>
      <c r="AH60" s="24"/>
      <c r="AI60" s="62">
        <f>0.677*$AG$4*$AF$9^4/($AM$5*1000*$AM$6/100000000*100)</f>
        <v>2.0988834110383069E-3</v>
      </c>
      <c r="AJ60" s="62"/>
      <c r="AK60" s="62"/>
      <c r="AL60" s="37" t="s">
        <v>160</v>
      </c>
      <c r="AM60" s="56" t="s">
        <v>164</v>
      </c>
      <c r="AN60" s="62">
        <f>+AI60*1000</f>
        <v>2.0988834110383068</v>
      </c>
      <c r="AO60" s="62"/>
      <c r="AP60" s="62"/>
      <c r="AQ60" s="37" t="s">
        <v>165</v>
      </c>
      <c r="AR60" s="44"/>
      <c r="AS60" s="43"/>
      <c r="AT60" s="37"/>
      <c r="AU60" s="37"/>
      <c r="AV60" s="37"/>
      <c r="AW60" s="37"/>
      <c r="AX60" s="37"/>
      <c r="AY60" s="37"/>
      <c r="AZ60" s="37"/>
      <c r="BA60" s="44"/>
      <c r="BB60" s="42"/>
    </row>
    <row r="61" spans="2:54">
      <c r="B61" s="38"/>
      <c r="C61" s="71"/>
      <c r="D61" s="20"/>
      <c r="E61" s="20"/>
      <c r="F61" s="20"/>
      <c r="G61" s="20"/>
      <c r="H61" s="20"/>
      <c r="I61" s="20"/>
      <c r="J61" s="20"/>
      <c r="K61" s="27"/>
      <c r="L61" s="27"/>
      <c r="M61" s="20"/>
      <c r="N61" s="27"/>
      <c r="O61" s="27"/>
      <c r="P61" s="20"/>
      <c r="Q61" s="28"/>
      <c r="R61" s="27"/>
      <c r="S61" s="20"/>
      <c r="T61" s="20"/>
      <c r="U61" s="20"/>
      <c r="V61" s="19" t="s">
        <v>166</v>
      </c>
      <c r="W61" s="20"/>
      <c r="X61" s="20"/>
      <c r="Y61" s="20"/>
      <c r="Z61" s="1"/>
      <c r="AA61" s="21" t="s">
        <v>174</v>
      </c>
      <c r="AB61" s="20"/>
      <c r="AC61" s="20"/>
      <c r="AD61" s="20"/>
      <c r="AE61" s="37"/>
      <c r="AF61" s="24"/>
      <c r="AG61" s="24"/>
      <c r="AH61" s="24"/>
      <c r="AI61" s="62">
        <f>-0.313*$AG$4*$AF$9^4/($AM$5*1000*$AM$6/100000000*100)</f>
        <v>-9.7038479712701622E-4</v>
      </c>
      <c r="AJ61" s="62"/>
      <c r="AK61" s="62"/>
      <c r="AL61" s="37" t="s">
        <v>160</v>
      </c>
      <c r="AM61" s="56" t="s">
        <v>164</v>
      </c>
      <c r="AN61" s="62">
        <f>+AI61*1000</f>
        <v>-0.9703847971270162</v>
      </c>
      <c r="AO61" s="62"/>
      <c r="AP61" s="62"/>
      <c r="AQ61" s="37" t="s">
        <v>165</v>
      </c>
      <c r="AR61" s="44"/>
      <c r="AS61" s="43"/>
      <c r="AT61" s="37"/>
      <c r="AU61" s="37"/>
      <c r="AV61" s="37"/>
      <c r="AW61" s="37"/>
      <c r="AX61" s="37"/>
      <c r="AY61" s="37"/>
      <c r="AZ61" s="37"/>
      <c r="BA61" s="44"/>
      <c r="BB61" s="42"/>
    </row>
    <row r="62" spans="2:54">
      <c r="B62" s="38"/>
      <c r="C62" s="71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12"/>
      <c r="Z62" s="6"/>
      <c r="AA62" s="7"/>
      <c r="AB62" s="7"/>
      <c r="AC62" s="7"/>
      <c r="AD62" s="7"/>
      <c r="AE62" s="48"/>
      <c r="AF62" s="7"/>
      <c r="AG62" s="7"/>
      <c r="AH62" s="7"/>
      <c r="AI62" s="48"/>
      <c r="AJ62" s="48"/>
      <c r="AK62" s="48"/>
      <c r="AL62" s="48"/>
      <c r="AM62" s="48"/>
      <c r="AN62" s="48"/>
      <c r="AO62" s="48"/>
      <c r="AP62" s="48"/>
      <c r="AQ62" s="48"/>
      <c r="AR62" s="49"/>
      <c r="AS62" s="43"/>
      <c r="AT62" s="37"/>
      <c r="AU62" s="37"/>
      <c r="AV62" s="37"/>
      <c r="AW62" s="37"/>
      <c r="AX62" s="37"/>
      <c r="AY62" s="37"/>
      <c r="AZ62" s="37"/>
      <c r="BA62" s="44"/>
      <c r="BB62" s="42"/>
    </row>
    <row r="63" spans="2:54">
      <c r="B63" s="38"/>
      <c r="C63" s="7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3"/>
      <c r="AA63" s="14"/>
      <c r="AB63" s="14"/>
      <c r="AC63" s="14"/>
      <c r="AD63" s="14"/>
      <c r="AE63" s="40"/>
      <c r="AF63" s="14"/>
      <c r="AG63" s="14"/>
      <c r="AH63" s="14"/>
      <c r="AI63" s="40"/>
      <c r="AJ63" s="40"/>
      <c r="AK63" s="40"/>
      <c r="AL63" s="40"/>
      <c r="AM63" s="40"/>
      <c r="AN63" s="40"/>
      <c r="AO63" s="40"/>
      <c r="AP63" s="40"/>
      <c r="AQ63" s="40"/>
      <c r="AR63" s="41"/>
      <c r="AS63" s="43"/>
      <c r="AT63" s="37"/>
      <c r="AU63" s="37"/>
      <c r="AV63" s="37"/>
      <c r="AW63" s="37"/>
      <c r="AX63" s="37"/>
      <c r="AY63" s="37"/>
      <c r="AZ63" s="37"/>
      <c r="BA63" s="44"/>
      <c r="BB63" s="42"/>
    </row>
    <row r="64" spans="2:54" ht="12" thickBot="1">
      <c r="B64" s="38"/>
      <c r="C64" s="71"/>
      <c r="D64" s="20"/>
      <c r="E64" s="20"/>
      <c r="F64" s="20"/>
      <c r="G64" s="20"/>
      <c r="H64" s="20"/>
      <c r="I64" s="20"/>
      <c r="J64" s="20"/>
      <c r="K64" s="25"/>
      <c r="L64" s="25"/>
      <c r="M64" s="25"/>
      <c r="N64" s="25"/>
      <c r="O64" s="25"/>
      <c r="P64" s="25"/>
      <c r="Q64" s="10"/>
      <c r="R64" s="10"/>
      <c r="S64" s="10"/>
      <c r="T64" s="20"/>
      <c r="U64" s="20"/>
      <c r="V64" s="20" t="s">
        <v>6</v>
      </c>
      <c r="W64" s="20"/>
      <c r="X64" s="20"/>
      <c r="Y64" s="20"/>
      <c r="Z64" s="1"/>
      <c r="AA64" s="26" t="s">
        <v>46</v>
      </c>
      <c r="AB64" s="20"/>
      <c r="AC64" s="20"/>
      <c r="AD64" s="20"/>
      <c r="AE64" s="37"/>
      <c r="AF64" s="66">
        <f>-0.117*$AG$4*$AF$9^2</f>
        <v>-7.1077500000000011</v>
      </c>
      <c r="AG64" s="66"/>
      <c r="AH64" s="66"/>
      <c r="AI64" s="37" t="s">
        <v>161</v>
      </c>
      <c r="AJ64" s="37"/>
      <c r="AK64" s="37"/>
      <c r="AL64" s="37"/>
      <c r="AM64" s="37"/>
      <c r="AN64" s="37"/>
      <c r="AO64" s="37"/>
      <c r="AP64" s="37"/>
      <c r="AQ64" s="37"/>
      <c r="AR64" s="44"/>
      <c r="AS64" s="43"/>
      <c r="AT64" s="37"/>
      <c r="AU64" s="37"/>
      <c r="AV64" s="37"/>
      <c r="AW64" s="37"/>
      <c r="AX64" s="37"/>
      <c r="AY64" s="37"/>
      <c r="AZ64" s="37"/>
      <c r="BA64" s="44"/>
      <c r="BB64" s="42"/>
    </row>
    <row r="65" spans="2:54">
      <c r="B65" s="38"/>
      <c r="C65" s="71"/>
      <c r="D65" s="20"/>
      <c r="E65" s="20"/>
      <c r="F65" s="20"/>
      <c r="G65" s="20"/>
      <c r="H65" s="20"/>
      <c r="I65" s="20"/>
      <c r="J65" s="20"/>
      <c r="K65" s="20"/>
      <c r="L65" s="27">
        <v>1</v>
      </c>
      <c r="M65" s="20"/>
      <c r="N65" s="20"/>
      <c r="O65" s="27">
        <v>2</v>
      </c>
      <c r="P65" s="20"/>
      <c r="Q65" s="20"/>
      <c r="R65" s="27">
        <v>3</v>
      </c>
      <c r="S65" s="20"/>
      <c r="T65" s="20"/>
      <c r="U65" s="20"/>
      <c r="V65" s="20" t="s">
        <v>47</v>
      </c>
      <c r="W65" s="20"/>
      <c r="X65" s="20"/>
      <c r="Y65" s="20"/>
      <c r="Z65" s="1"/>
      <c r="AA65" s="26" t="s">
        <v>48</v>
      </c>
      <c r="AB65" s="20"/>
      <c r="AC65" s="20"/>
      <c r="AD65" s="20"/>
      <c r="AE65" s="37"/>
      <c r="AF65" s="66">
        <f>-0.033*$AG$4*$AF$9^2</f>
        <v>-2.00475</v>
      </c>
      <c r="AG65" s="66"/>
      <c r="AH65" s="66"/>
      <c r="AI65" s="37" t="s">
        <v>161</v>
      </c>
      <c r="AJ65" s="37"/>
      <c r="AK65" s="37"/>
      <c r="AL65" s="37"/>
      <c r="AM65" s="37"/>
      <c r="AN65" s="37"/>
      <c r="AO65" s="37"/>
      <c r="AP65" s="37"/>
      <c r="AQ65" s="37"/>
      <c r="AR65" s="44"/>
      <c r="AS65" s="43"/>
      <c r="AT65" s="37"/>
      <c r="AU65" s="37"/>
      <c r="AV65" s="37"/>
      <c r="AW65" s="37"/>
      <c r="AX65" s="37"/>
      <c r="AY65" s="37"/>
      <c r="AZ65" s="37"/>
      <c r="BA65" s="44"/>
      <c r="BB65" s="42"/>
    </row>
    <row r="66" spans="2:54">
      <c r="B66" s="38"/>
      <c r="C66" s="71"/>
      <c r="D66" s="20"/>
      <c r="E66" s="20"/>
      <c r="F66" s="20"/>
      <c r="G66" s="20"/>
      <c r="H66" s="20"/>
      <c r="I66" s="20"/>
      <c r="J66" s="67" t="s">
        <v>8</v>
      </c>
      <c r="K66" s="67"/>
      <c r="L66" s="27"/>
      <c r="M66" s="67" t="s">
        <v>10</v>
      </c>
      <c r="N66" s="67"/>
      <c r="O66" s="27"/>
      <c r="P66" s="67" t="s">
        <v>11</v>
      </c>
      <c r="Q66" s="67"/>
      <c r="R66" s="27"/>
      <c r="S66" s="67" t="s">
        <v>32</v>
      </c>
      <c r="T66" s="67"/>
      <c r="U66" s="20"/>
      <c r="V66" s="20" t="s">
        <v>12</v>
      </c>
      <c r="W66" s="20"/>
      <c r="X66" s="20"/>
      <c r="Y66" s="20"/>
      <c r="Z66" s="1"/>
      <c r="AA66" s="20" t="s">
        <v>49</v>
      </c>
      <c r="AB66" s="20"/>
      <c r="AC66" s="20"/>
      <c r="AD66" s="20"/>
      <c r="AE66" s="37"/>
      <c r="AF66" s="66">
        <f>1.2*$AG$4*$AF$9</f>
        <v>16.2</v>
      </c>
      <c r="AG66" s="66"/>
      <c r="AH66" s="66"/>
      <c r="AI66" s="37" t="s">
        <v>161</v>
      </c>
      <c r="AJ66" s="37"/>
      <c r="AK66" s="37"/>
      <c r="AL66" s="37"/>
      <c r="AM66" s="37"/>
      <c r="AN66" s="37"/>
      <c r="AO66" s="37"/>
      <c r="AP66" s="37"/>
      <c r="AQ66" s="37"/>
      <c r="AR66" s="44"/>
      <c r="AS66" s="43"/>
      <c r="AT66" s="37"/>
      <c r="AU66" s="37"/>
      <c r="AV66" s="37"/>
      <c r="AW66" s="37"/>
      <c r="AX66" s="37"/>
      <c r="AY66" s="37"/>
      <c r="AZ66" s="37"/>
      <c r="BA66" s="44"/>
      <c r="BB66" s="42"/>
    </row>
    <row r="67" spans="2:54">
      <c r="B67" s="38"/>
      <c r="C67" s="71"/>
      <c r="D67" s="20"/>
      <c r="E67" s="20"/>
      <c r="F67" s="20"/>
      <c r="G67" s="20"/>
      <c r="H67" s="20"/>
      <c r="I67" s="20"/>
      <c r="J67" s="20"/>
      <c r="K67" s="27"/>
      <c r="L67" s="27" t="s">
        <v>14</v>
      </c>
      <c r="M67" s="20"/>
      <c r="N67" s="27"/>
      <c r="O67" s="27" t="s">
        <v>14</v>
      </c>
      <c r="P67" s="20"/>
      <c r="Q67" s="28"/>
      <c r="R67" s="27" t="str">
        <f>+O67</f>
        <v>L</v>
      </c>
      <c r="S67" s="20"/>
      <c r="T67" s="20"/>
      <c r="U67" s="20"/>
      <c r="V67" s="20" t="s">
        <v>15</v>
      </c>
      <c r="W67" s="20"/>
      <c r="X67" s="20"/>
      <c r="Y67" s="20"/>
      <c r="Z67" s="1"/>
      <c r="AA67" s="26" t="s">
        <v>50</v>
      </c>
      <c r="AB67" s="20"/>
      <c r="AC67" s="20"/>
      <c r="AD67" s="20"/>
      <c r="AE67" s="37"/>
      <c r="AF67" s="66">
        <f>-0.617*$AG$4*$AF$9</f>
        <v>-8.3294999999999995</v>
      </c>
      <c r="AG67" s="66"/>
      <c r="AH67" s="66"/>
      <c r="AI67" s="37" t="s">
        <v>162</v>
      </c>
      <c r="AJ67" s="37"/>
      <c r="AK67" s="37"/>
      <c r="AL67" s="37"/>
      <c r="AM67" s="37"/>
      <c r="AN67" s="37"/>
      <c r="AO67" s="37"/>
      <c r="AP67" s="37"/>
      <c r="AQ67" s="37"/>
      <c r="AR67" s="44"/>
      <c r="AS67" s="43"/>
      <c r="AT67" s="37"/>
      <c r="AU67" s="37"/>
      <c r="AV67" s="37"/>
      <c r="AW67" s="37"/>
      <c r="AX67" s="37"/>
      <c r="AY67" s="37"/>
      <c r="AZ67" s="37"/>
      <c r="BA67" s="44"/>
      <c r="BB67" s="42"/>
    </row>
    <row r="68" spans="2:54">
      <c r="B68" s="38"/>
      <c r="C68" s="71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 t="s">
        <v>51</v>
      </c>
      <c r="W68" s="20"/>
      <c r="X68" s="20"/>
      <c r="Y68" s="20"/>
      <c r="Z68" s="1"/>
      <c r="AA68" s="20" t="s">
        <v>52</v>
      </c>
      <c r="AB68" s="20"/>
      <c r="AC68" s="20"/>
      <c r="AD68" s="20"/>
      <c r="AE68" s="37"/>
      <c r="AF68" s="66">
        <f>0.583*$AG$4*$AF$9</f>
        <v>7.8704999999999998</v>
      </c>
      <c r="AG68" s="66"/>
      <c r="AH68" s="66"/>
      <c r="AI68" s="37" t="s">
        <v>162</v>
      </c>
      <c r="AJ68" s="37"/>
      <c r="AK68" s="37"/>
      <c r="AL68" s="37"/>
      <c r="AM68" s="37"/>
      <c r="AN68" s="37"/>
      <c r="AO68" s="37"/>
      <c r="AP68" s="37"/>
      <c r="AQ68" s="37"/>
      <c r="AR68" s="44"/>
      <c r="AS68" s="43"/>
      <c r="AT68" s="37"/>
      <c r="AU68" s="37"/>
      <c r="AV68" s="37"/>
      <c r="AW68" s="37"/>
      <c r="AX68" s="37"/>
      <c r="AY68" s="37"/>
      <c r="AZ68" s="37"/>
      <c r="BA68" s="44"/>
      <c r="BB68" s="42"/>
    </row>
    <row r="69" spans="2:54">
      <c r="B69" s="38"/>
      <c r="C69" s="71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19" t="s">
        <v>157</v>
      </c>
      <c r="W69" s="20"/>
      <c r="X69" s="20"/>
      <c r="Y69" s="20"/>
      <c r="Z69" s="1"/>
      <c r="AA69" s="21" t="s">
        <v>175</v>
      </c>
      <c r="AB69" s="20"/>
      <c r="AC69" s="20"/>
      <c r="AD69" s="20"/>
      <c r="AE69" s="37"/>
      <c r="AF69" s="24"/>
      <c r="AG69" s="24"/>
      <c r="AH69" s="24"/>
      <c r="AI69" s="62">
        <f>0.573*$AG$4*$AF$9^4/($AM$5*1000*$AM$6/100000000*100)</f>
        <v>1.7764552356350804E-3</v>
      </c>
      <c r="AJ69" s="62"/>
      <c r="AK69" s="62"/>
      <c r="AL69" s="37" t="s">
        <v>160</v>
      </c>
      <c r="AM69" s="56" t="s">
        <v>164</v>
      </c>
      <c r="AN69" s="62">
        <f>+AI69*1000</f>
        <v>1.7764552356350805</v>
      </c>
      <c r="AO69" s="62"/>
      <c r="AP69" s="62"/>
      <c r="AQ69" s="37" t="s">
        <v>165</v>
      </c>
      <c r="AR69" s="44"/>
      <c r="AS69" s="43"/>
      <c r="AT69" s="37"/>
      <c r="AU69" s="37"/>
      <c r="AV69" s="37"/>
      <c r="AW69" s="37"/>
      <c r="AX69" s="37"/>
      <c r="AY69" s="37"/>
      <c r="AZ69" s="37"/>
      <c r="BA69" s="44"/>
      <c r="BB69" s="42"/>
    </row>
    <row r="70" spans="2:54">
      <c r="B70" s="38"/>
      <c r="C70" s="71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19" t="s">
        <v>158</v>
      </c>
      <c r="W70" s="20"/>
      <c r="X70" s="20"/>
      <c r="Y70" s="20"/>
      <c r="Z70" s="1"/>
      <c r="AA70" s="21" t="s">
        <v>176</v>
      </c>
      <c r="AB70" s="20"/>
      <c r="AC70" s="20"/>
      <c r="AD70" s="20"/>
      <c r="AE70" s="37"/>
      <c r="AF70" s="24"/>
      <c r="AG70" s="24"/>
      <c r="AH70" s="24"/>
      <c r="AI70" s="62">
        <f>0.365*$AG$4*$AF$9^4/($AM$5*1000*$AM$6/100000000*100)</f>
        <v>1.1315988848286291E-3</v>
      </c>
      <c r="AJ70" s="62"/>
      <c r="AK70" s="62"/>
      <c r="AL70" s="37" t="s">
        <v>160</v>
      </c>
      <c r="AM70" s="56" t="s">
        <v>164</v>
      </c>
      <c r="AN70" s="62">
        <f>+AI70*1000</f>
        <v>1.1315988848286291</v>
      </c>
      <c r="AO70" s="62"/>
      <c r="AP70" s="62"/>
      <c r="AQ70" s="37" t="s">
        <v>165</v>
      </c>
      <c r="AR70" s="44"/>
      <c r="AS70" s="43"/>
      <c r="AT70" s="37"/>
      <c r="AU70" s="37"/>
      <c r="AV70" s="37"/>
      <c r="AW70" s="37"/>
      <c r="AX70" s="37"/>
      <c r="AY70" s="37"/>
      <c r="AZ70" s="37"/>
      <c r="BA70" s="44"/>
      <c r="BB70" s="42"/>
    </row>
    <row r="71" spans="2:54">
      <c r="B71" s="38"/>
      <c r="C71" s="71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17" t="s">
        <v>166</v>
      </c>
      <c r="W71" s="7"/>
      <c r="X71" s="7"/>
      <c r="Y71" s="7"/>
      <c r="Z71" s="6"/>
      <c r="AA71" s="18" t="s">
        <v>177</v>
      </c>
      <c r="AB71" s="7"/>
      <c r="AC71" s="7"/>
      <c r="AD71" s="7"/>
      <c r="AE71" s="48"/>
      <c r="AF71" s="8"/>
      <c r="AG71" s="8"/>
      <c r="AH71" s="8"/>
      <c r="AI71" s="76">
        <f>-0.208*$AG$4*$AF$9^4/($AM$5*1000*$AM$6/100000000*100)</f>
        <v>-6.4485635080645156E-4</v>
      </c>
      <c r="AJ71" s="76"/>
      <c r="AK71" s="76"/>
      <c r="AL71" s="48" t="s">
        <v>160</v>
      </c>
      <c r="AM71" s="57" t="s">
        <v>164</v>
      </c>
      <c r="AN71" s="76">
        <f>+AI71*1000</f>
        <v>-0.64485635080645154</v>
      </c>
      <c r="AO71" s="76"/>
      <c r="AP71" s="76"/>
      <c r="AQ71" s="48" t="s">
        <v>165</v>
      </c>
      <c r="AR71" s="49"/>
      <c r="AS71" s="43"/>
      <c r="AT71" s="37"/>
      <c r="AU71" s="37"/>
      <c r="AV71" s="37"/>
      <c r="AW71" s="37"/>
      <c r="AX71" s="37"/>
      <c r="AY71" s="37"/>
      <c r="AZ71" s="37"/>
      <c r="BA71" s="44"/>
      <c r="BB71" s="42"/>
    </row>
    <row r="72" spans="2:54">
      <c r="B72" s="38"/>
      <c r="C72" s="7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9"/>
      <c r="Z72" s="13"/>
      <c r="AA72" s="14"/>
      <c r="AB72" s="14"/>
      <c r="AC72" s="14"/>
      <c r="AD72" s="14"/>
      <c r="AE72" s="40"/>
      <c r="AF72" s="14"/>
      <c r="AG72" s="14"/>
      <c r="AH72" s="14"/>
      <c r="AI72" s="40"/>
      <c r="AJ72" s="40"/>
      <c r="AK72" s="40"/>
      <c r="AL72" s="40"/>
      <c r="AM72" s="40"/>
      <c r="AN72" s="40"/>
      <c r="AO72" s="40"/>
      <c r="AP72" s="40"/>
      <c r="AQ72" s="40"/>
      <c r="AR72" s="41"/>
      <c r="AS72" s="43"/>
      <c r="AT72" s="37"/>
      <c r="AU72" s="37"/>
      <c r="AV72" s="37"/>
      <c r="AW72" s="37"/>
      <c r="AX72" s="37"/>
      <c r="AY72" s="37"/>
      <c r="AZ72" s="37"/>
      <c r="BA72" s="44"/>
      <c r="BB72" s="42"/>
    </row>
    <row r="73" spans="2:54" ht="12" thickBot="1">
      <c r="B73" s="38"/>
      <c r="C73" s="71"/>
      <c r="D73" s="20"/>
      <c r="E73" s="20"/>
      <c r="F73" s="20"/>
      <c r="G73" s="20"/>
      <c r="H73" s="20"/>
      <c r="I73" s="20"/>
      <c r="J73" s="20"/>
      <c r="K73" s="10"/>
      <c r="L73" s="10"/>
      <c r="M73" s="10"/>
      <c r="N73" s="10"/>
      <c r="O73" s="10"/>
      <c r="P73" s="10"/>
      <c r="Q73" s="25"/>
      <c r="R73" s="25"/>
      <c r="S73" s="25"/>
      <c r="T73" s="20"/>
      <c r="U73" s="20"/>
      <c r="V73" s="20" t="s">
        <v>53</v>
      </c>
      <c r="W73" s="20"/>
      <c r="X73" s="20"/>
      <c r="Y73" s="11"/>
      <c r="Z73" s="1"/>
      <c r="AA73" s="20" t="s">
        <v>54</v>
      </c>
      <c r="AB73" s="20"/>
      <c r="AC73" s="20"/>
      <c r="AD73" s="20"/>
      <c r="AE73" s="37"/>
      <c r="AF73" s="66">
        <f>0.017*$AG$4*$AF$9^2</f>
        <v>1.0327500000000001</v>
      </c>
      <c r="AG73" s="66"/>
      <c r="AH73" s="66"/>
      <c r="AI73" s="37" t="s">
        <v>161</v>
      </c>
      <c r="AJ73" s="37"/>
      <c r="AK73" s="37"/>
      <c r="AL73" s="37"/>
      <c r="AM73" s="37"/>
      <c r="AN73" s="37"/>
      <c r="AO73" s="37"/>
      <c r="AP73" s="37"/>
      <c r="AQ73" s="37"/>
      <c r="AR73" s="44"/>
      <c r="AS73" s="43"/>
      <c r="AT73" s="37"/>
      <c r="AU73" s="37"/>
      <c r="AV73" s="37"/>
      <c r="AW73" s="37"/>
      <c r="AX73" s="37"/>
      <c r="AY73" s="37"/>
      <c r="AZ73" s="37"/>
      <c r="BA73" s="44"/>
      <c r="BB73" s="42"/>
    </row>
    <row r="74" spans="2:54">
      <c r="B74" s="38"/>
      <c r="C74" s="71"/>
      <c r="D74" s="20"/>
      <c r="E74" s="20"/>
      <c r="F74" s="20"/>
      <c r="G74" s="20"/>
      <c r="H74" s="20"/>
      <c r="I74" s="20"/>
      <c r="J74" s="20"/>
      <c r="K74" s="20"/>
      <c r="L74" s="27">
        <v>1</v>
      </c>
      <c r="M74" s="20"/>
      <c r="N74" s="20"/>
      <c r="O74" s="27">
        <v>2</v>
      </c>
      <c r="P74" s="20"/>
      <c r="Q74" s="20"/>
      <c r="R74" s="27">
        <v>3</v>
      </c>
      <c r="S74" s="20"/>
      <c r="T74" s="20"/>
      <c r="U74" s="20"/>
      <c r="V74" s="20" t="s">
        <v>47</v>
      </c>
      <c r="W74" s="20"/>
      <c r="X74" s="20"/>
      <c r="Y74" s="11"/>
      <c r="Z74" s="1"/>
      <c r="AA74" s="26" t="s">
        <v>55</v>
      </c>
      <c r="AB74" s="20"/>
      <c r="AC74" s="20"/>
      <c r="AD74" s="20"/>
      <c r="AE74" s="37"/>
      <c r="AF74" s="66">
        <f>-0.067*$AG$4*$AF$9^2</f>
        <v>-4.0702500000000006</v>
      </c>
      <c r="AG74" s="66"/>
      <c r="AH74" s="66"/>
      <c r="AI74" s="37" t="s">
        <v>161</v>
      </c>
      <c r="AJ74" s="37"/>
      <c r="AK74" s="37"/>
      <c r="AL74" s="37"/>
      <c r="AM74" s="37"/>
      <c r="AN74" s="37"/>
      <c r="AO74" s="37"/>
      <c r="AP74" s="37"/>
      <c r="AQ74" s="37"/>
      <c r="AR74" s="44"/>
      <c r="AS74" s="43"/>
      <c r="AT74" s="37"/>
      <c r="AU74" s="37"/>
      <c r="AV74" s="37"/>
      <c r="AW74" s="37"/>
      <c r="AX74" s="37"/>
      <c r="AY74" s="37"/>
      <c r="AZ74" s="37"/>
      <c r="BA74" s="44"/>
      <c r="BB74" s="42"/>
    </row>
    <row r="75" spans="2:54">
      <c r="B75" s="38"/>
      <c r="C75" s="71"/>
      <c r="D75" s="20"/>
      <c r="E75" s="20"/>
      <c r="F75" s="20"/>
      <c r="G75" s="20"/>
      <c r="H75" s="20"/>
      <c r="I75" s="20"/>
      <c r="J75" s="67" t="s">
        <v>8</v>
      </c>
      <c r="K75" s="67"/>
      <c r="L75" s="27"/>
      <c r="M75" s="67" t="s">
        <v>10</v>
      </c>
      <c r="N75" s="67"/>
      <c r="O75" s="27"/>
      <c r="P75" s="67" t="s">
        <v>11</v>
      </c>
      <c r="Q75" s="67"/>
      <c r="R75" s="27"/>
      <c r="S75" s="67" t="s">
        <v>32</v>
      </c>
      <c r="T75" s="67"/>
      <c r="U75" s="20"/>
      <c r="V75" s="20" t="s">
        <v>15</v>
      </c>
      <c r="W75" s="20"/>
      <c r="X75" s="20"/>
      <c r="Y75" s="11"/>
      <c r="Z75" s="1"/>
      <c r="AA75" s="20" t="s">
        <v>56</v>
      </c>
      <c r="AB75" s="20"/>
      <c r="AC75" s="20"/>
      <c r="AD75" s="20"/>
      <c r="AE75" s="37"/>
      <c r="AF75" s="66">
        <f>0.17*$AG$4*$AF$9</f>
        <v>2.2949999999999999</v>
      </c>
      <c r="AG75" s="66"/>
      <c r="AH75" s="66"/>
      <c r="AI75" s="37" t="s">
        <v>162</v>
      </c>
      <c r="AJ75" s="37"/>
      <c r="AK75" s="37"/>
      <c r="AL75" s="37"/>
      <c r="AM75" s="37"/>
      <c r="AN75" s="37"/>
      <c r="AO75" s="37"/>
      <c r="AP75" s="37"/>
      <c r="AQ75" s="37"/>
      <c r="AR75" s="44"/>
      <c r="AS75" s="43"/>
      <c r="AT75" s="37"/>
      <c r="AU75" s="37"/>
      <c r="AV75" s="37"/>
      <c r="AW75" s="37"/>
      <c r="AX75" s="37"/>
      <c r="AY75" s="37"/>
      <c r="AZ75" s="37"/>
      <c r="BA75" s="44"/>
      <c r="BB75" s="42"/>
    </row>
    <row r="76" spans="2:54">
      <c r="B76" s="38"/>
      <c r="C76" s="71"/>
      <c r="D76" s="20"/>
      <c r="E76" s="20"/>
      <c r="F76" s="20"/>
      <c r="G76" s="20"/>
      <c r="H76" s="20"/>
      <c r="I76" s="20"/>
      <c r="J76" s="20"/>
      <c r="K76" s="27"/>
      <c r="L76" s="27" t="s">
        <v>14</v>
      </c>
      <c r="M76" s="20"/>
      <c r="N76" s="27"/>
      <c r="O76" s="27" t="s">
        <v>14</v>
      </c>
      <c r="P76" s="20"/>
      <c r="Q76" s="28"/>
      <c r="R76" s="27" t="str">
        <f>+O76</f>
        <v>L</v>
      </c>
      <c r="S76" s="20"/>
      <c r="T76" s="20"/>
      <c r="U76" s="20"/>
      <c r="V76" s="20" t="s">
        <v>51</v>
      </c>
      <c r="W76" s="20"/>
      <c r="X76" s="20"/>
      <c r="Y76" s="11"/>
      <c r="Z76" s="1"/>
      <c r="AA76" s="26" t="s">
        <v>57</v>
      </c>
      <c r="AB76" s="20"/>
      <c r="AC76" s="20"/>
      <c r="AD76" s="20"/>
      <c r="AE76" s="37"/>
      <c r="AF76" s="66">
        <f>-0.083*$AG$4*$AF$9</f>
        <v>-1.1205000000000001</v>
      </c>
      <c r="AG76" s="66"/>
      <c r="AH76" s="66"/>
      <c r="AI76" s="37" t="s">
        <v>162</v>
      </c>
      <c r="AJ76" s="37"/>
      <c r="AK76" s="37"/>
      <c r="AL76" s="37"/>
      <c r="AM76" s="37"/>
      <c r="AN76" s="37"/>
      <c r="AO76" s="37"/>
      <c r="AP76" s="37"/>
      <c r="AQ76" s="37"/>
      <c r="AR76" s="44"/>
      <c r="AS76" s="43"/>
      <c r="AT76" s="37"/>
      <c r="AU76" s="37"/>
      <c r="AV76" s="37"/>
      <c r="AW76" s="37"/>
      <c r="AX76" s="37"/>
      <c r="AY76" s="37"/>
      <c r="AZ76" s="37"/>
      <c r="BA76" s="44"/>
      <c r="BB76" s="42"/>
    </row>
    <row r="77" spans="2:54">
      <c r="B77" s="38"/>
      <c r="C77" s="71"/>
      <c r="D77" s="20"/>
      <c r="E77" s="20"/>
      <c r="F77" s="20"/>
      <c r="G77" s="20"/>
      <c r="H77" s="20"/>
      <c r="I77" s="20"/>
      <c r="J77" s="20"/>
      <c r="K77" s="27"/>
      <c r="L77" s="27"/>
      <c r="M77" s="20"/>
      <c r="N77" s="27"/>
      <c r="O77" s="27"/>
      <c r="P77" s="20"/>
      <c r="Q77" s="28"/>
      <c r="R77" s="27"/>
      <c r="S77" s="20"/>
      <c r="T77" s="20"/>
      <c r="U77" s="20"/>
      <c r="V77" s="19" t="s">
        <v>157</v>
      </c>
      <c r="W77" s="20"/>
      <c r="X77" s="20"/>
      <c r="Y77" s="20"/>
      <c r="Z77" s="1"/>
      <c r="AA77" s="21" t="s">
        <v>179</v>
      </c>
      <c r="AB77" s="20"/>
      <c r="AC77" s="20"/>
      <c r="AD77" s="20"/>
      <c r="AE77" s="37"/>
      <c r="AF77" s="24"/>
      <c r="AG77" s="24"/>
      <c r="AH77" s="24"/>
      <c r="AI77" s="62">
        <f>0.104*$AG$4*$AF$9^4/($AM$5*1000*$AM$6/100000000*100)</f>
        <v>3.2242817540322578E-4</v>
      </c>
      <c r="AJ77" s="62"/>
      <c r="AK77" s="62"/>
      <c r="AL77" s="37" t="s">
        <v>160</v>
      </c>
      <c r="AM77" s="56" t="s">
        <v>164</v>
      </c>
      <c r="AN77" s="62">
        <f>+AI77*1000</f>
        <v>0.32242817540322577</v>
      </c>
      <c r="AO77" s="62"/>
      <c r="AP77" s="62"/>
      <c r="AQ77" s="37" t="s">
        <v>165</v>
      </c>
      <c r="AR77" s="44"/>
      <c r="AS77" s="43"/>
      <c r="AT77" s="37"/>
      <c r="AU77" s="37"/>
      <c r="AV77" s="37"/>
      <c r="AW77" s="37"/>
      <c r="AX77" s="37"/>
      <c r="AY77" s="37"/>
      <c r="AZ77" s="37"/>
      <c r="BA77" s="44"/>
      <c r="BB77" s="42"/>
    </row>
    <row r="78" spans="2:54">
      <c r="B78" s="38"/>
      <c r="C78" s="71"/>
      <c r="D78" s="20"/>
      <c r="E78" s="20"/>
      <c r="F78" s="20"/>
      <c r="G78" s="20"/>
      <c r="H78" s="20"/>
      <c r="I78" s="20"/>
      <c r="J78" s="20"/>
      <c r="K78" s="27"/>
      <c r="L78" s="27"/>
      <c r="M78" s="20"/>
      <c r="N78" s="27"/>
      <c r="O78" s="27"/>
      <c r="P78" s="20"/>
      <c r="Q78" s="28"/>
      <c r="R78" s="27"/>
      <c r="S78" s="20"/>
      <c r="T78" s="20"/>
      <c r="U78" s="20"/>
      <c r="V78" s="19" t="s">
        <v>158</v>
      </c>
      <c r="W78" s="20"/>
      <c r="X78" s="20"/>
      <c r="Y78" s="20"/>
      <c r="Z78" s="1"/>
      <c r="AA78" s="21" t="s">
        <v>174</v>
      </c>
      <c r="AB78" s="20"/>
      <c r="AC78" s="20"/>
      <c r="AD78" s="20"/>
      <c r="AE78" s="37"/>
      <c r="AF78" s="24"/>
      <c r="AG78" s="24"/>
      <c r="AH78" s="24"/>
      <c r="AI78" s="62">
        <f>-0.313*$AG$4*$AF$9^4/($AM$5*1000*$AM$6/100000000*100)</f>
        <v>-9.7038479712701622E-4</v>
      </c>
      <c r="AJ78" s="62"/>
      <c r="AK78" s="62"/>
      <c r="AL78" s="37" t="s">
        <v>160</v>
      </c>
      <c r="AM78" s="56" t="s">
        <v>164</v>
      </c>
      <c r="AN78" s="62">
        <f>+AI78*1000</f>
        <v>-0.9703847971270162</v>
      </c>
      <c r="AO78" s="62"/>
      <c r="AP78" s="62"/>
      <c r="AQ78" s="37" t="s">
        <v>165</v>
      </c>
      <c r="AR78" s="44"/>
      <c r="AS78" s="43"/>
      <c r="AT78" s="37"/>
      <c r="AU78" s="37"/>
      <c r="AV78" s="37"/>
      <c r="AW78" s="37"/>
      <c r="AX78" s="37"/>
      <c r="AY78" s="37"/>
      <c r="AZ78" s="37"/>
      <c r="BA78" s="44"/>
      <c r="BB78" s="42"/>
    </row>
    <row r="79" spans="2:54">
      <c r="B79" s="38"/>
      <c r="C79" s="71"/>
      <c r="D79" s="20"/>
      <c r="E79" s="20"/>
      <c r="F79" s="20"/>
      <c r="G79" s="20"/>
      <c r="H79" s="20"/>
      <c r="I79" s="20"/>
      <c r="J79" s="20"/>
      <c r="K79" s="27"/>
      <c r="L79" s="27"/>
      <c r="M79" s="20"/>
      <c r="N79" s="27"/>
      <c r="O79" s="27"/>
      <c r="P79" s="20"/>
      <c r="Q79" s="28"/>
      <c r="R79" s="27"/>
      <c r="S79" s="20"/>
      <c r="T79" s="20"/>
      <c r="U79" s="20"/>
      <c r="V79" s="19" t="s">
        <v>166</v>
      </c>
      <c r="W79" s="20"/>
      <c r="X79" s="20"/>
      <c r="Y79" s="20"/>
      <c r="Z79" s="1"/>
      <c r="AA79" s="21" t="s">
        <v>178</v>
      </c>
      <c r="AB79" s="20"/>
      <c r="AC79" s="20"/>
      <c r="AD79" s="20"/>
      <c r="AE79" s="37"/>
      <c r="AF79" s="24"/>
      <c r="AG79" s="24"/>
      <c r="AH79" s="24"/>
      <c r="AI79" s="62">
        <f>0.885*$AG$4*$AF$9^4/($AM$5*1000*$AM$6/100000000*100)</f>
        <v>2.7437397618447585E-3</v>
      </c>
      <c r="AJ79" s="62"/>
      <c r="AK79" s="62"/>
      <c r="AL79" s="37" t="s">
        <v>160</v>
      </c>
      <c r="AM79" s="56" t="s">
        <v>164</v>
      </c>
      <c r="AN79" s="62">
        <f>+AI79*1000</f>
        <v>2.7437397618447585</v>
      </c>
      <c r="AO79" s="62"/>
      <c r="AP79" s="62"/>
      <c r="AQ79" s="37" t="s">
        <v>165</v>
      </c>
      <c r="AR79" s="44"/>
      <c r="AS79" s="43"/>
      <c r="AT79" s="37"/>
      <c r="AU79" s="37"/>
      <c r="AV79" s="37"/>
      <c r="AW79" s="37"/>
      <c r="AX79" s="37"/>
      <c r="AY79" s="37"/>
      <c r="AZ79" s="37"/>
      <c r="BA79" s="44"/>
      <c r="BB79" s="42"/>
    </row>
    <row r="80" spans="2:54" ht="12" thickBot="1">
      <c r="B80" s="38"/>
      <c r="C80" s="7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32"/>
      <c r="Z80" s="30"/>
      <c r="AA80" s="10"/>
      <c r="AB80" s="10"/>
      <c r="AC80" s="10"/>
      <c r="AD80" s="10"/>
      <c r="AE80" s="50"/>
      <c r="AF80" s="10"/>
      <c r="AG80" s="10"/>
      <c r="AH80" s="10"/>
      <c r="AI80" s="50"/>
      <c r="AJ80" s="50"/>
      <c r="AK80" s="50"/>
      <c r="AL80" s="50"/>
      <c r="AM80" s="50"/>
      <c r="AN80" s="50"/>
      <c r="AO80" s="50"/>
      <c r="AP80" s="50"/>
      <c r="AQ80" s="50"/>
      <c r="AR80" s="51"/>
      <c r="AS80" s="59"/>
      <c r="AT80" s="50"/>
      <c r="AU80" s="50"/>
      <c r="AV80" s="50"/>
      <c r="AW80" s="50"/>
      <c r="AX80" s="50"/>
      <c r="AY80" s="50"/>
      <c r="AZ80" s="50"/>
      <c r="BA80" s="51"/>
      <c r="BB80" s="42"/>
    </row>
    <row r="81" spans="2:54">
      <c r="B81" s="38"/>
      <c r="C81" s="75" t="s">
        <v>58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11"/>
      <c r="Z81" s="31"/>
      <c r="AA81" s="3"/>
      <c r="AB81" s="3"/>
      <c r="AC81" s="3"/>
      <c r="AD81" s="3"/>
      <c r="AE81" s="52"/>
      <c r="AF81" s="3"/>
      <c r="AG81" s="3"/>
      <c r="AH81" s="3"/>
      <c r="AI81" s="52"/>
      <c r="AJ81" s="52"/>
      <c r="AK81" s="52"/>
      <c r="AL81" s="52"/>
      <c r="AM81" s="52"/>
      <c r="AN81" s="52"/>
      <c r="AO81" s="52"/>
      <c r="AP81" s="52"/>
      <c r="AQ81" s="52"/>
      <c r="AR81" s="53"/>
      <c r="AS81" s="58"/>
      <c r="AT81" s="52"/>
      <c r="AU81" s="52"/>
      <c r="AV81" s="52"/>
      <c r="AW81" s="52"/>
      <c r="AX81" s="52"/>
      <c r="AY81" s="52"/>
      <c r="AZ81" s="52"/>
      <c r="BA81" s="53"/>
      <c r="BB81" s="42"/>
    </row>
    <row r="82" spans="2:54">
      <c r="B82" s="38"/>
      <c r="C82" s="71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 t="s">
        <v>4</v>
      </c>
      <c r="W82" s="20"/>
      <c r="X82" s="20"/>
      <c r="Y82" s="11"/>
      <c r="Z82" s="1"/>
      <c r="AA82" s="20" t="s">
        <v>59</v>
      </c>
      <c r="AB82" s="20"/>
      <c r="AC82" s="20"/>
      <c r="AD82" s="20"/>
      <c r="AE82" s="37"/>
      <c r="AF82" s="66">
        <f>0.077*$AG$4*$AF$9^2</f>
        <v>4.6777499999999996</v>
      </c>
      <c r="AG82" s="66"/>
      <c r="AH82" s="66"/>
      <c r="AI82" s="37" t="s">
        <v>161</v>
      </c>
      <c r="AJ82" s="37"/>
      <c r="AK82" s="37"/>
      <c r="AL82" s="37"/>
      <c r="AM82" s="37"/>
      <c r="AN82" s="37"/>
      <c r="AO82" s="37"/>
      <c r="AP82" s="37"/>
      <c r="AQ82" s="37"/>
      <c r="AR82" s="44"/>
      <c r="AS82" s="43"/>
      <c r="AT82" s="37"/>
      <c r="AU82" s="37"/>
      <c r="AV82" s="37"/>
      <c r="AW82" s="37"/>
      <c r="AX82" s="37"/>
      <c r="AY82" s="37"/>
      <c r="AZ82" s="37"/>
      <c r="BA82" s="44"/>
      <c r="BB82" s="42"/>
    </row>
    <row r="83" spans="2:54">
      <c r="B83" s="38"/>
      <c r="C83" s="71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 t="s">
        <v>29</v>
      </c>
      <c r="W83" s="20"/>
      <c r="X83" s="20"/>
      <c r="Y83" s="11"/>
      <c r="Z83" s="1"/>
      <c r="AA83" s="20" t="s">
        <v>60</v>
      </c>
      <c r="AB83" s="20"/>
      <c r="AC83" s="20"/>
      <c r="AD83" s="20"/>
      <c r="AE83" s="37"/>
      <c r="AF83" s="66">
        <f>0.036*$AG$4*$AF$9^2</f>
        <v>2.1869999999999998</v>
      </c>
      <c r="AG83" s="66"/>
      <c r="AH83" s="66"/>
      <c r="AI83" s="37" t="s">
        <v>161</v>
      </c>
      <c r="AJ83" s="37"/>
      <c r="AK83" s="37"/>
      <c r="AL83" s="37"/>
      <c r="AM83" s="37"/>
      <c r="AN83" s="37"/>
      <c r="AO83" s="37"/>
      <c r="AP83" s="37"/>
      <c r="AQ83" s="37"/>
      <c r="AR83" s="44"/>
      <c r="AS83" s="43"/>
      <c r="AT83" s="37"/>
      <c r="AU83" s="37"/>
      <c r="AV83" s="37"/>
      <c r="AW83" s="37"/>
      <c r="AX83" s="37"/>
      <c r="AY83" s="37"/>
      <c r="AZ83" s="37"/>
      <c r="BA83" s="44"/>
      <c r="BB83" s="42"/>
    </row>
    <row r="84" spans="2:54" ht="12" thickBot="1">
      <c r="B84" s="38"/>
      <c r="C84" s="71"/>
      <c r="D84" s="20"/>
      <c r="E84" s="20"/>
      <c r="F84" s="20"/>
      <c r="G84" s="20"/>
      <c r="H84" s="25"/>
      <c r="I84" s="25"/>
      <c r="J84" s="33"/>
      <c r="K84" s="25"/>
      <c r="L84" s="25"/>
      <c r="M84" s="25"/>
      <c r="N84" s="25"/>
      <c r="O84" s="25"/>
      <c r="P84" s="25"/>
      <c r="Q84" s="16"/>
      <c r="R84" s="16"/>
      <c r="S84" s="16"/>
      <c r="T84" s="20"/>
      <c r="U84" s="20"/>
      <c r="V84" s="20" t="s">
        <v>19</v>
      </c>
      <c r="W84" s="20"/>
      <c r="X84" s="20"/>
      <c r="Y84" s="11"/>
      <c r="Z84" s="1"/>
      <c r="AA84" s="26" t="s">
        <v>61</v>
      </c>
      <c r="AB84" s="20"/>
      <c r="AC84" s="20"/>
      <c r="AD84" s="20"/>
      <c r="AE84" s="37"/>
      <c r="AF84" s="66">
        <f>-0.107*$AG$4*$AF$9^2</f>
        <v>-6.5002500000000003</v>
      </c>
      <c r="AG84" s="66"/>
      <c r="AH84" s="66"/>
      <c r="AI84" s="37" t="s">
        <v>161</v>
      </c>
      <c r="AJ84" s="37"/>
      <c r="AK84" s="37"/>
      <c r="AL84" s="37"/>
      <c r="AM84" s="37"/>
      <c r="AN84" s="37"/>
      <c r="AO84" s="37"/>
      <c r="AP84" s="37"/>
      <c r="AQ84" s="37"/>
      <c r="AR84" s="44"/>
      <c r="AS84" s="43"/>
      <c r="AT84" s="37"/>
      <c r="AU84" s="37"/>
      <c r="AV84" s="37"/>
      <c r="AW84" s="37"/>
      <c r="AX84" s="37"/>
      <c r="AY84" s="37"/>
      <c r="AZ84" s="37"/>
      <c r="BA84" s="44"/>
      <c r="BB84" s="42"/>
    </row>
    <row r="85" spans="2:54">
      <c r="B85" s="38"/>
      <c r="C85" s="71"/>
      <c r="D85" s="20"/>
      <c r="E85" s="20"/>
      <c r="F85" s="20"/>
      <c r="G85" s="20"/>
      <c r="H85" s="20"/>
      <c r="I85" s="27">
        <v>1</v>
      </c>
      <c r="J85" s="20"/>
      <c r="K85" s="20"/>
      <c r="L85" s="27">
        <v>2</v>
      </c>
      <c r="M85" s="20"/>
      <c r="N85" s="20"/>
      <c r="O85" s="27">
        <v>3</v>
      </c>
      <c r="P85" s="20"/>
      <c r="Q85" s="20"/>
      <c r="R85" s="27">
        <v>4</v>
      </c>
      <c r="S85" s="20"/>
      <c r="T85" s="20"/>
      <c r="U85" s="20"/>
      <c r="V85" s="20" t="s">
        <v>47</v>
      </c>
      <c r="W85" s="20"/>
      <c r="X85" s="20"/>
      <c r="Y85" s="11"/>
      <c r="Z85" s="1"/>
      <c r="AA85" s="26" t="s">
        <v>62</v>
      </c>
      <c r="AB85" s="20"/>
      <c r="AC85" s="20"/>
      <c r="AD85" s="20"/>
      <c r="AE85" s="37"/>
      <c r="AF85" s="66">
        <f>-0.071*$AG$4*$AF$9^2</f>
        <v>-4.3132499999999991</v>
      </c>
      <c r="AG85" s="66"/>
      <c r="AH85" s="66"/>
      <c r="AI85" s="37" t="s">
        <v>161</v>
      </c>
      <c r="AJ85" s="37"/>
      <c r="AK85" s="37"/>
      <c r="AL85" s="37"/>
      <c r="AM85" s="37"/>
      <c r="AN85" s="37"/>
      <c r="AO85" s="37"/>
      <c r="AP85" s="37"/>
      <c r="AQ85" s="37"/>
      <c r="AR85" s="44"/>
      <c r="AS85" s="43"/>
      <c r="AT85" s="37"/>
      <c r="AU85" s="37"/>
      <c r="AV85" s="37"/>
      <c r="AW85" s="37"/>
      <c r="AX85" s="37"/>
      <c r="AY85" s="37"/>
      <c r="AZ85" s="37"/>
      <c r="BA85" s="44"/>
      <c r="BB85" s="42"/>
    </row>
    <row r="86" spans="2:54">
      <c r="B86" s="38"/>
      <c r="C86" s="71"/>
      <c r="D86" s="20"/>
      <c r="E86" s="20"/>
      <c r="F86" s="20"/>
      <c r="G86" s="67" t="s">
        <v>8</v>
      </c>
      <c r="H86" s="67"/>
      <c r="I86" s="27"/>
      <c r="J86" s="67" t="s">
        <v>10</v>
      </c>
      <c r="K86" s="67"/>
      <c r="L86" s="27"/>
      <c r="M86" s="67" t="s">
        <v>11</v>
      </c>
      <c r="N86" s="67"/>
      <c r="O86" s="27"/>
      <c r="P86" s="67" t="s">
        <v>32</v>
      </c>
      <c r="Q86" s="67"/>
      <c r="R86" s="27"/>
      <c r="S86" s="67" t="s">
        <v>63</v>
      </c>
      <c r="T86" s="67"/>
      <c r="U86" s="20"/>
      <c r="V86" s="20" t="s">
        <v>8</v>
      </c>
      <c r="W86" s="20"/>
      <c r="X86" s="20"/>
      <c r="Y86" s="11"/>
      <c r="Z86" s="1"/>
      <c r="AA86" s="20" t="s">
        <v>64</v>
      </c>
      <c r="AB86" s="20"/>
      <c r="AC86" s="20"/>
      <c r="AD86" s="20"/>
      <c r="AE86" s="37"/>
      <c r="AF86" s="66">
        <f>0.393*$AG$4*$AF$9</f>
        <v>5.3055000000000003</v>
      </c>
      <c r="AG86" s="66"/>
      <c r="AH86" s="66"/>
      <c r="AI86" s="37" t="s">
        <v>162</v>
      </c>
      <c r="AJ86" s="37"/>
      <c r="AK86" s="37"/>
      <c r="AL86" s="37"/>
      <c r="AM86" s="37"/>
      <c r="AN86" s="37"/>
      <c r="AO86" s="37"/>
      <c r="AP86" s="37"/>
      <c r="AQ86" s="37"/>
      <c r="AR86" s="44"/>
      <c r="AS86" s="43"/>
      <c r="AT86" s="37"/>
      <c r="AU86" s="37"/>
      <c r="AV86" s="37"/>
      <c r="AW86" s="37"/>
      <c r="AX86" s="37"/>
      <c r="AY86" s="37"/>
      <c r="AZ86" s="37"/>
      <c r="BA86" s="44"/>
      <c r="BB86" s="42"/>
    </row>
    <row r="87" spans="2:54">
      <c r="B87" s="38"/>
      <c r="C87" s="71"/>
      <c r="D87" s="20"/>
      <c r="E87" s="20"/>
      <c r="F87" s="20"/>
      <c r="G87" s="20"/>
      <c r="H87" s="27"/>
      <c r="I87" s="27" t="s">
        <v>14</v>
      </c>
      <c r="J87" s="20"/>
      <c r="K87" s="27"/>
      <c r="L87" s="27" t="s">
        <v>14</v>
      </c>
      <c r="M87" s="20"/>
      <c r="N87" s="27"/>
      <c r="O87" s="27" t="s">
        <v>14</v>
      </c>
      <c r="P87" s="20"/>
      <c r="Q87" s="28"/>
      <c r="R87" s="27" t="str">
        <f>+O87</f>
        <v>L</v>
      </c>
      <c r="S87" s="20"/>
      <c r="T87" s="20"/>
      <c r="U87" s="20"/>
      <c r="V87" s="20" t="s">
        <v>10</v>
      </c>
      <c r="W87" s="20"/>
      <c r="X87" s="20"/>
      <c r="Y87" s="11"/>
      <c r="Z87" s="1"/>
      <c r="AA87" s="20" t="s">
        <v>65</v>
      </c>
      <c r="AB87" s="20"/>
      <c r="AC87" s="20"/>
      <c r="AD87" s="20"/>
      <c r="AE87" s="37"/>
      <c r="AF87" s="66">
        <f>1.143*$AG$4*$AF$9</f>
        <v>15.430500000000002</v>
      </c>
      <c r="AG87" s="66"/>
      <c r="AH87" s="66"/>
      <c r="AI87" s="37" t="s">
        <v>162</v>
      </c>
      <c r="AJ87" s="37"/>
      <c r="AK87" s="37"/>
      <c r="AL87" s="37"/>
      <c r="AM87" s="37"/>
      <c r="AN87" s="37"/>
      <c r="AO87" s="37"/>
      <c r="AP87" s="37"/>
      <c r="AQ87" s="37"/>
      <c r="AR87" s="44"/>
      <c r="AS87" s="43"/>
      <c r="AT87" s="37"/>
      <c r="AU87" s="37"/>
      <c r="AV87" s="37"/>
      <c r="AW87" s="37"/>
      <c r="AX87" s="37"/>
      <c r="AY87" s="37"/>
      <c r="AZ87" s="37"/>
      <c r="BA87" s="44"/>
      <c r="BB87" s="42"/>
    </row>
    <row r="88" spans="2:54">
      <c r="B88" s="38"/>
      <c r="C88" s="71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 t="s">
        <v>11</v>
      </c>
      <c r="W88" s="20"/>
      <c r="X88" s="20"/>
      <c r="Y88" s="11"/>
      <c r="Z88" s="1"/>
      <c r="AA88" s="20" t="s">
        <v>66</v>
      </c>
      <c r="AB88" s="20"/>
      <c r="AC88" s="20"/>
      <c r="AD88" s="20"/>
      <c r="AE88" s="37"/>
      <c r="AF88" s="66">
        <f>0.929*$AG$4*$AF$9</f>
        <v>12.541499999999999</v>
      </c>
      <c r="AG88" s="66"/>
      <c r="AH88" s="66"/>
      <c r="AI88" s="37" t="s">
        <v>162</v>
      </c>
      <c r="AJ88" s="37"/>
      <c r="AK88" s="37"/>
      <c r="AL88" s="37"/>
      <c r="AM88" s="37"/>
      <c r="AN88" s="37"/>
      <c r="AO88" s="37"/>
      <c r="AP88" s="37"/>
      <c r="AQ88" s="37"/>
      <c r="AR88" s="44"/>
      <c r="AS88" s="43"/>
      <c r="AT88" s="37"/>
      <c r="AU88" s="37"/>
      <c r="AV88" s="37"/>
      <c r="AW88" s="37"/>
      <c r="AX88" s="37"/>
      <c r="AY88" s="37"/>
      <c r="AZ88" s="37"/>
      <c r="BA88" s="44"/>
      <c r="BB88" s="42"/>
    </row>
    <row r="89" spans="2:54">
      <c r="B89" s="38"/>
      <c r="C89" s="71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 t="s">
        <v>35</v>
      </c>
      <c r="W89" s="20"/>
      <c r="X89" s="20"/>
      <c r="Y89" s="11"/>
      <c r="Z89" s="1"/>
      <c r="AA89" s="26" t="s">
        <v>67</v>
      </c>
      <c r="AB89" s="20"/>
      <c r="AC89" s="20"/>
      <c r="AD89" s="20"/>
      <c r="AE89" s="37"/>
      <c r="AF89" s="66">
        <f>-0.607*$AG$4*$AF$9</f>
        <v>-8.1944999999999997</v>
      </c>
      <c r="AG89" s="66"/>
      <c r="AH89" s="66"/>
      <c r="AI89" s="37" t="s">
        <v>162</v>
      </c>
      <c r="AJ89" s="37"/>
      <c r="AK89" s="37"/>
      <c r="AL89" s="37"/>
      <c r="AM89" s="37"/>
      <c r="AN89" s="37"/>
      <c r="AO89" s="37"/>
      <c r="AP89" s="37"/>
      <c r="AQ89" s="37"/>
      <c r="AR89" s="44"/>
      <c r="AS89" s="43"/>
      <c r="AT89" s="37"/>
      <c r="AU89" s="37"/>
      <c r="AV89" s="37"/>
      <c r="AW89" s="37"/>
      <c r="AX89" s="37"/>
      <c r="AY89" s="37"/>
      <c r="AZ89" s="37"/>
      <c r="BA89" s="44"/>
      <c r="BB89" s="42"/>
    </row>
    <row r="90" spans="2:54">
      <c r="B90" s="38"/>
      <c r="C90" s="71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 t="s">
        <v>37</v>
      </c>
      <c r="W90" s="20"/>
      <c r="X90" s="20"/>
      <c r="Y90" s="11"/>
      <c r="Z90" s="1"/>
      <c r="AA90" s="20" t="s">
        <v>68</v>
      </c>
      <c r="AB90" s="20"/>
      <c r="AC90" s="20"/>
      <c r="AD90" s="20"/>
      <c r="AE90" s="37"/>
      <c r="AF90" s="66">
        <f>0.536*$AG$4*$AF$9</f>
        <v>7.2360000000000007</v>
      </c>
      <c r="AG90" s="66"/>
      <c r="AH90" s="66"/>
      <c r="AI90" s="37" t="s">
        <v>162</v>
      </c>
      <c r="AJ90" s="37"/>
      <c r="AK90" s="37"/>
      <c r="AL90" s="37"/>
      <c r="AM90" s="37"/>
      <c r="AN90" s="37"/>
      <c r="AO90" s="37"/>
      <c r="AP90" s="37"/>
      <c r="AQ90" s="37"/>
      <c r="AR90" s="44"/>
      <c r="AS90" s="43"/>
      <c r="AT90" s="37"/>
      <c r="AU90" s="37"/>
      <c r="AV90" s="37"/>
      <c r="AW90" s="37"/>
      <c r="AX90" s="37"/>
      <c r="AY90" s="37"/>
      <c r="AZ90" s="37"/>
      <c r="BA90" s="44"/>
      <c r="BB90" s="42"/>
    </row>
    <row r="91" spans="2:54">
      <c r="B91" s="38"/>
      <c r="C91" s="7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 t="s">
        <v>69</v>
      </c>
      <c r="W91" s="20"/>
      <c r="X91" s="20"/>
      <c r="Y91" s="11"/>
      <c r="Z91" s="1"/>
      <c r="AA91" s="26" t="s">
        <v>70</v>
      </c>
      <c r="AB91" s="20"/>
      <c r="AC91" s="20"/>
      <c r="AD91" s="20"/>
      <c r="AE91" s="37"/>
      <c r="AF91" s="66">
        <f>-0.464*$AG$4*$AF$9</f>
        <v>-6.2640000000000002</v>
      </c>
      <c r="AG91" s="66"/>
      <c r="AH91" s="66"/>
      <c r="AI91" s="37" t="s">
        <v>162</v>
      </c>
      <c r="AJ91" s="37"/>
      <c r="AK91" s="37"/>
      <c r="AL91" s="37"/>
      <c r="AM91" s="37"/>
      <c r="AN91" s="37"/>
      <c r="AO91" s="37"/>
      <c r="AP91" s="37"/>
      <c r="AQ91" s="37"/>
      <c r="AR91" s="44"/>
      <c r="AS91" s="43"/>
      <c r="AT91" s="37"/>
      <c r="AU91" s="37"/>
      <c r="AV91" s="37"/>
      <c r="AW91" s="37"/>
      <c r="AX91" s="37"/>
      <c r="AY91" s="37"/>
      <c r="AZ91" s="37"/>
      <c r="BA91" s="44"/>
      <c r="BB91" s="42"/>
    </row>
    <row r="92" spans="2:54">
      <c r="B92" s="38"/>
      <c r="C92" s="71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19" t="s">
        <v>157</v>
      </c>
      <c r="W92" s="20"/>
      <c r="X92" s="20"/>
      <c r="Y92" s="11"/>
      <c r="Z92" s="1"/>
      <c r="AA92" s="21" t="s">
        <v>181</v>
      </c>
      <c r="AB92" s="20"/>
      <c r="AC92" s="20"/>
      <c r="AD92" s="20"/>
      <c r="AE92" s="37"/>
      <c r="AF92" s="24"/>
      <c r="AG92" s="24"/>
      <c r="AH92" s="24"/>
      <c r="AI92" s="62">
        <f>0.632*$AG$4*$AF$9^4/($AM$5*1000*$AM$6/100000000*100)</f>
        <v>1.9593712197580643E-3</v>
      </c>
      <c r="AJ92" s="62"/>
      <c r="AK92" s="62"/>
      <c r="AL92" s="37" t="s">
        <v>160</v>
      </c>
      <c r="AM92" s="56" t="s">
        <v>164</v>
      </c>
      <c r="AN92" s="62">
        <f>+AI92*1000</f>
        <v>1.9593712197580644</v>
      </c>
      <c r="AO92" s="62"/>
      <c r="AP92" s="62"/>
      <c r="AQ92" s="37" t="s">
        <v>165</v>
      </c>
      <c r="AR92" s="44"/>
      <c r="AS92" s="43"/>
      <c r="AT92" s="37"/>
      <c r="AU92" s="37"/>
      <c r="AV92" s="37"/>
      <c r="AW92" s="37"/>
      <c r="AX92" s="37"/>
      <c r="AY92" s="37"/>
      <c r="AZ92" s="37"/>
      <c r="BA92" s="44"/>
      <c r="BB92" s="42"/>
    </row>
    <row r="93" spans="2:54">
      <c r="B93" s="38"/>
      <c r="C93" s="71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19" t="s">
        <v>158</v>
      </c>
      <c r="W93" s="20"/>
      <c r="X93" s="20"/>
      <c r="Y93" s="11"/>
      <c r="Z93" s="1"/>
      <c r="AA93" s="21" t="s">
        <v>182</v>
      </c>
      <c r="AB93" s="20"/>
      <c r="AC93" s="20"/>
      <c r="AD93" s="20"/>
      <c r="AE93" s="37"/>
      <c r="AF93" s="24"/>
      <c r="AG93" s="24"/>
      <c r="AH93" s="24"/>
      <c r="AI93" s="62">
        <f>0.186*$AG$4*$AF$9^4/($AM$5*1000*$AM$6/100000000*100)</f>
        <v>5.7665039062500007E-4</v>
      </c>
      <c r="AJ93" s="62"/>
      <c r="AK93" s="62"/>
      <c r="AL93" s="37" t="s">
        <v>160</v>
      </c>
      <c r="AM93" s="56" t="s">
        <v>164</v>
      </c>
      <c r="AN93" s="62">
        <f>+AI93*1000</f>
        <v>0.57665039062500012</v>
      </c>
      <c r="AO93" s="62"/>
      <c r="AP93" s="62"/>
      <c r="AQ93" s="37" t="s">
        <v>165</v>
      </c>
      <c r="AR93" s="44"/>
      <c r="AS93" s="43"/>
      <c r="AT93" s="37"/>
      <c r="AU93" s="37"/>
      <c r="AV93" s="37"/>
      <c r="AW93" s="37"/>
      <c r="AX93" s="37"/>
      <c r="AY93" s="37"/>
      <c r="AZ93" s="37"/>
      <c r="BA93" s="44"/>
      <c r="BB93" s="42"/>
    </row>
    <row r="94" spans="2:54">
      <c r="B94" s="38"/>
      <c r="C94" s="71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19" t="s">
        <v>166</v>
      </c>
      <c r="W94" s="20"/>
      <c r="X94" s="20"/>
      <c r="Y94" s="11"/>
      <c r="Z94" s="1"/>
      <c r="AA94" s="21" t="s">
        <v>183</v>
      </c>
      <c r="AB94" s="20"/>
      <c r="AC94" s="20"/>
      <c r="AD94" s="20"/>
      <c r="AE94" s="37"/>
      <c r="AF94" s="24"/>
      <c r="AG94" s="24"/>
      <c r="AH94" s="24"/>
      <c r="AI94" s="62">
        <f>0.186*$AG$4*$AF$9^4/($AM$5*1000*$AM$6/100000000*100)</f>
        <v>5.7665039062500007E-4</v>
      </c>
      <c r="AJ94" s="62"/>
      <c r="AK94" s="62"/>
      <c r="AL94" s="37" t="s">
        <v>160</v>
      </c>
      <c r="AM94" s="56" t="s">
        <v>164</v>
      </c>
      <c r="AN94" s="62">
        <f>+AI94*1000</f>
        <v>0.57665039062500012</v>
      </c>
      <c r="AO94" s="62"/>
      <c r="AP94" s="62"/>
      <c r="AQ94" s="37" t="s">
        <v>165</v>
      </c>
      <c r="AR94" s="44"/>
      <c r="AS94" s="43"/>
      <c r="AT94" s="37"/>
      <c r="AU94" s="37"/>
      <c r="AV94" s="37"/>
      <c r="AW94" s="37"/>
      <c r="AX94" s="37"/>
      <c r="AY94" s="37"/>
      <c r="AZ94" s="37"/>
      <c r="BA94" s="44"/>
      <c r="BB94" s="42"/>
    </row>
    <row r="95" spans="2:54">
      <c r="B95" s="38"/>
      <c r="C95" s="71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19" t="s">
        <v>180</v>
      </c>
      <c r="W95" s="20"/>
      <c r="X95" s="20"/>
      <c r="Y95" s="11"/>
      <c r="Z95" s="1"/>
      <c r="AA95" s="21" t="s">
        <v>181</v>
      </c>
      <c r="AB95" s="20"/>
      <c r="AC95" s="20"/>
      <c r="AD95" s="20"/>
      <c r="AE95" s="37"/>
      <c r="AF95" s="24"/>
      <c r="AG95" s="24"/>
      <c r="AH95" s="24"/>
      <c r="AI95" s="62">
        <f>0.632*$AG$4*$AF$9^4/($AM$5*1000*$AM$6/100000000*100)</f>
        <v>1.9593712197580643E-3</v>
      </c>
      <c r="AJ95" s="62"/>
      <c r="AK95" s="62"/>
      <c r="AL95" s="37" t="s">
        <v>160</v>
      </c>
      <c r="AM95" s="56" t="s">
        <v>164</v>
      </c>
      <c r="AN95" s="62">
        <f>+AI95*1000</f>
        <v>1.9593712197580644</v>
      </c>
      <c r="AO95" s="62"/>
      <c r="AP95" s="62"/>
      <c r="AQ95" s="37" t="s">
        <v>165</v>
      </c>
      <c r="AR95" s="44"/>
      <c r="AS95" s="43"/>
      <c r="AT95" s="37"/>
      <c r="AU95" s="37"/>
      <c r="AV95" s="37"/>
      <c r="AW95" s="37"/>
      <c r="AX95" s="37"/>
      <c r="AY95" s="37"/>
      <c r="AZ95" s="37"/>
      <c r="BA95" s="44"/>
      <c r="BB95" s="42"/>
    </row>
    <row r="96" spans="2:54">
      <c r="B96" s="38"/>
      <c r="C96" s="7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12"/>
      <c r="Z96" s="6"/>
      <c r="AA96" s="7"/>
      <c r="AB96" s="7"/>
      <c r="AC96" s="7"/>
      <c r="AD96" s="7"/>
      <c r="AE96" s="48"/>
      <c r="AF96" s="7"/>
      <c r="AG96" s="7"/>
      <c r="AH96" s="7"/>
      <c r="AI96" s="48"/>
      <c r="AJ96" s="48"/>
      <c r="AK96" s="48"/>
      <c r="AL96" s="48"/>
      <c r="AM96" s="48"/>
      <c r="AN96" s="48"/>
      <c r="AO96" s="48"/>
      <c r="AP96" s="48"/>
      <c r="AQ96" s="48"/>
      <c r="AR96" s="49"/>
      <c r="AS96" s="43"/>
      <c r="AT96" s="37"/>
      <c r="AU96" s="37"/>
      <c r="AV96" s="37"/>
      <c r="AW96" s="37"/>
      <c r="AX96" s="37"/>
      <c r="AY96" s="37"/>
      <c r="AZ96" s="37"/>
      <c r="BA96" s="44"/>
      <c r="BB96" s="42"/>
    </row>
    <row r="97" spans="2:54">
      <c r="B97" s="38"/>
      <c r="C97" s="7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11"/>
      <c r="Z97" s="13"/>
      <c r="AA97" s="14"/>
      <c r="AB97" s="14"/>
      <c r="AC97" s="14"/>
      <c r="AD97" s="14"/>
      <c r="AE97" s="40"/>
      <c r="AF97" s="14"/>
      <c r="AG97" s="14"/>
      <c r="AH97" s="14"/>
      <c r="AI97" s="40"/>
      <c r="AJ97" s="40"/>
      <c r="AK97" s="40"/>
      <c r="AL97" s="40"/>
      <c r="AM97" s="40"/>
      <c r="AN97" s="40"/>
      <c r="AO97" s="40"/>
      <c r="AP97" s="40"/>
      <c r="AQ97" s="40"/>
      <c r="AR97" s="41"/>
      <c r="AS97" s="43"/>
      <c r="AT97" s="37"/>
      <c r="AU97" s="37"/>
      <c r="AV97" s="37"/>
      <c r="AW97" s="37"/>
      <c r="AX97" s="37"/>
      <c r="AY97" s="37"/>
      <c r="AZ97" s="37"/>
      <c r="BA97" s="44"/>
      <c r="BB97" s="42"/>
    </row>
    <row r="98" spans="2:54">
      <c r="B98" s="38"/>
      <c r="C98" s="7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 t="s">
        <v>17</v>
      </c>
      <c r="W98" s="20"/>
      <c r="X98" s="20"/>
      <c r="Y98" s="11"/>
      <c r="Z98" s="1"/>
      <c r="AA98" s="20" t="s">
        <v>71</v>
      </c>
      <c r="AB98" s="20"/>
      <c r="AC98" s="20"/>
      <c r="AD98" s="20"/>
      <c r="AE98" s="37"/>
      <c r="AF98" s="66">
        <f>0.1*$AG$4*$AF$9^2</f>
        <v>6.0750000000000011</v>
      </c>
      <c r="AG98" s="66"/>
      <c r="AH98" s="66"/>
      <c r="AI98" s="37" t="s">
        <v>161</v>
      </c>
      <c r="AJ98" s="37"/>
      <c r="AK98" s="37"/>
      <c r="AL98" s="37"/>
      <c r="AM98" s="37"/>
      <c r="AN98" s="37"/>
      <c r="AO98" s="37"/>
      <c r="AP98" s="37"/>
      <c r="AQ98" s="37"/>
      <c r="AR98" s="44"/>
      <c r="AS98" s="43"/>
      <c r="AT98" s="37"/>
      <c r="AU98" s="37"/>
      <c r="AV98" s="37"/>
      <c r="AW98" s="37"/>
      <c r="AX98" s="37"/>
      <c r="AY98" s="37"/>
      <c r="AZ98" s="37"/>
      <c r="BA98" s="44"/>
      <c r="BB98" s="42"/>
    </row>
    <row r="99" spans="2:54" ht="12" thickBot="1">
      <c r="B99" s="38"/>
      <c r="C99" s="71"/>
      <c r="D99" s="20"/>
      <c r="E99" s="20"/>
      <c r="F99" s="20"/>
      <c r="G99" s="20"/>
      <c r="H99" s="25"/>
      <c r="I99" s="25"/>
      <c r="J99" s="33"/>
      <c r="K99" s="10"/>
      <c r="L99" s="10"/>
      <c r="M99" s="10"/>
      <c r="N99" s="25"/>
      <c r="O99" s="25"/>
      <c r="P99" s="25"/>
      <c r="Q99" s="10"/>
      <c r="R99" s="10"/>
      <c r="S99" s="10"/>
      <c r="T99" s="20"/>
      <c r="U99" s="20"/>
      <c r="V99" s="20" t="s">
        <v>40</v>
      </c>
      <c r="W99" s="20"/>
      <c r="X99" s="20"/>
      <c r="Y99" s="11"/>
      <c r="Z99" s="1"/>
      <c r="AA99" s="29" t="s">
        <v>24</v>
      </c>
      <c r="AB99" s="20"/>
      <c r="AC99" s="20"/>
      <c r="AD99" s="20"/>
      <c r="AE99" s="37"/>
      <c r="AF99" s="20"/>
      <c r="AG99" s="20"/>
      <c r="AH99" s="20"/>
      <c r="AI99" s="37"/>
      <c r="AJ99" s="37"/>
      <c r="AK99" s="37"/>
      <c r="AL99" s="37"/>
      <c r="AM99" s="37"/>
      <c r="AN99" s="37"/>
      <c r="AO99" s="37"/>
      <c r="AP99" s="37"/>
      <c r="AQ99" s="37"/>
      <c r="AR99" s="44"/>
      <c r="AS99" s="43"/>
      <c r="AT99" s="37"/>
      <c r="AU99" s="37"/>
      <c r="AV99" s="37"/>
      <c r="AW99" s="37"/>
      <c r="AX99" s="37"/>
      <c r="AY99" s="37"/>
      <c r="AZ99" s="37"/>
      <c r="BA99" s="44"/>
      <c r="BB99" s="42"/>
    </row>
    <row r="100" spans="2:54">
      <c r="B100" s="38"/>
      <c r="C100" s="71"/>
      <c r="D100" s="20"/>
      <c r="E100" s="20"/>
      <c r="F100" s="20"/>
      <c r="G100" s="20"/>
      <c r="H100" s="20"/>
      <c r="I100" s="27">
        <v>1</v>
      </c>
      <c r="J100" s="20"/>
      <c r="K100" s="20"/>
      <c r="L100" s="27">
        <v>2</v>
      </c>
      <c r="M100" s="20"/>
      <c r="N100" s="20"/>
      <c r="O100" s="27">
        <v>3</v>
      </c>
      <c r="P100" s="20"/>
      <c r="Q100" s="20"/>
      <c r="R100" s="27">
        <v>4</v>
      </c>
      <c r="S100" s="20"/>
      <c r="T100" s="20"/>
      <c r="U100" s="20"/>
      <c r="V100" s="20" t="s">
        <v>72</v>
      </c>
      <c r="W100" s="20"/>
      <c r="X100" s="20"/>
      <c r="Y100" s="11"/>
      <c r="Z100" s="1"/>
      <c r="AA100" s="26" t="s">
        <v>73</v>
      </c>
      <c r="AB100" s="20"/>
      <c r="AC100" s="20"/>
      <c r="AD100" s="20"/>
      <c r="AE100" s="37"/>
      <c r="AF100" s="66">
        <f>-0.054*$AG$4*$AF$9^2</f>
        <v>-3.2805</v>
      </c>
      <c r="AG100" s="66"/>
      <c r="AH100" s="66"/>
      <c r="AI100" s="37" t="s">
        <v>161</v>
      </c>
      <c r="AJ100" s="37"/>
      <c r="AK100" s="37"/>
      <c r="AL100" s="37"/>
      <c r="AM100" s="37"/>
      <c r="AN100" s="37"/>
      <c r="AO100" s="37"/>
      <c r="AP100" s="37"/>
      <c r="AQ100" s="37"/>
      <c r="AR100" s="44"/>
      <c r="AS100" s="43"/>
      <c r="AT100" s="37"/>
      <c r="AU100" s="37"/>
      <c r="AV100" s="37"/>
      <c r="AW100" s="37"/>
      <c r="AX100" s="37"/>
      <c r="AY100" s="37"/>
      <c r="AZ100" s="37"/>
      <c r="BA100" s="44"/>
      <c r="BB100" s="42"/>
    </row>
    <row r="101" spans="2:54">
      <c r="B101" s="38"/>
      <c r="C101" s="71"/>
      <c r="D101" s="20"/>
      <c r="E101" s="20"/>
      <c r="F101" s="20"/>
      <c r="G101" s="67" t="s">
        <v>8</v>
      </c>
      <c r="H101" s="67"/>
      <c r="I101" s="27"/>
      <c r="J101" s="67" t="s">
        <v>10</v>
      </c>
      <c r="K101" s="67"/>
      <c r="L101" s="27"/>
      <c r="M101" s="67" t="s">
        <v>11</v>
      </c>
      <c r="N101" s="67"/>
      <c r="O101" s="27"/>
      <c r="P101" s="67" t="s">
        <v>32</v>
      </c>
      <c r="Q101" s="67"/>
      <c r="R101" s="27"/>
      <c r="S101" s="67" t="s">
        <v>63</v>
      </c>
      <c r="T101" s="67"/>
      <c r="U101" s="20"/>
      <c r="V101" s="20" t="s">
        <v>47</v>
      </c>
      <c r="W101" s="20"/>
      <c r="X101" s="20"/>
      <c r="Y101" s="11"/>
      <c r="Z101" s="1"/>
      <c r="AA101" s="26" t="s">
        <v>74</v>
      </c>
      <c r="AB101" s="20"/>
      <c r="AC101" s="20"/>
      <c r="AD101" s="20"/>
      <c r="AE101" s="37"/>
      <c r="AF101" s="66">
        <f>-0.036*$AG$4*$AF$9^2</f>
        <v>-2.1869999999999998</v>
      </c>
      <c r="AG101" s="66"/>
      <c r="AH101" s="66"/>
      <c r="AI101" s="37" t="s">
        <v>161</v>
      </c>
      <c r="AJ101" s="37"/>
      <c r="AK101" s="37"/>
      <c r="AL101" s="37"/>
      <c r="AM101" s="37"/>
      <c r="AN101" s="37"/>
      <c r="AO101" s="37"/>
      <c r="AP101" s="37"/>
      <c r="AQ101" s="37"/>
      <c r="AR101" s="44"/>
      <c r="AS101" s="43"/>
      <c r="AT101" s="37"/>
      <c r="AU101" s="37"/>
      <c r="AV101" s="37"/>
      <c r="AW101" s="37"/>
      <c r="AX101" s="37"/>
      <c r="AY101" s="37"/>
      <c r="AZ101" s="37"/>
      <c r="BA101" s="44"/>
      <c r="BB101" s="42"/>
    </row>
    <row r="102" spans="2:54">
      <c r="B102" s="38"/>
      <c r="C102" s="71"/>
      <c r="D102" s="20"/>
      <c r="E102" s="20"/>
      <c r="F102" s="20"/>
      <c r="G102" s="20"/>
      <c r="H102" s="27"/>
      <c r="I102" s="27" t="s">
        <v>14</v>
      </c>
      <c r="J102" s="20"/>
      <c r="K102" s="27"/>
      <c r="L102" s="27" t="s">
        <v>14</v>
      </c>
      <c r="M102" s="20"/>
      <c r="N102" s="27"/>
      <c r="O102" s="27" t="s">
        <v>14</v>
      </c>
      <c r="P102" s="20"/>
      <c r="Q102" s="28"/>
      <c r="R102" s="27" t="str">
        <f>+O102</f>
        <v>L</v>
      </c>
      <c r="S102" s="20"/>
      <c r="T102" s="20"/>
      <c r="U102" s="20"/>
      <c r="V102" s="20" t="s">
        <v>21</v>
      </c>
      <c r="W102" s="20"/>
      <c r="X102" s="20"/>
      <c r="Y102" s="11"/>
      <c r="Z102" s="1"/>
      <c r="AA102" s="20" t="s">
        <v>75</v>
      </c>
      <c r="AB102" s="20"/>
      <c r="AC102" s="20"/>
      <c r="AD102" s="20"/>
      <c r="AE102" s="37"/>
      <c r="AF102" s="66">
        <f>0.446*$AG$4*$AF$9</f>
        <v>6.0210000000000008</v>
      </c>
      <c r="AG102" s="66"/>
      <c r="AH102" s="66"/>
      <c r="AI102" s="37" t="s">
        <v>162</v>
      </c>
      <c r="AJ102" s="37"/>
      <c r="AK102" s="37"/>
      <c r="AL102" s="37"/>
      <c r="AM102" s="37"/>
      <c r="AN102" s="37"/>
      <c r="AO102" s="37"/>
      <c r="AP102" s="37"/>
      <c r="AQ102" s="37"/>
      <c r="AR102" s="44"/>
      <c r="AS102" s="43"/>
      <c r="AT102" s="37"/>
      <c r="AU102" s="37"/>
      <c r="AV102" s="37"/>
      <c r="AW102" s="37"/>
      <c r="AX102" s="37"/>
      <c r="AY102" s="37"/>
      <c r="AZ102" s="37"/>
      <c r="BA102" s="44"/>
      <c r="BB102" s="42"/>
    </row>
    <row r="103" spans="2:54">
      <c r="B103" s="38"/>
      <c r="C103" s="71"/>
      <c r="D103" s="20"/>
      <c r="E103" s="20"/>
      <c r="F103" s="20"/>
      <c r="G103" s="20"/>
      <c r="H103" s="27"/>
      <c r="I103" s="27"/>
      <c r="J103" s="20"/>
      <c r="K103" s="27"/>
      <c r="L103" s="27"/>
      <c r="M103" s="20"/>
      <c r="N103" s="27"/>
      <c r="O103" s="27"/>
      <c r="P103" s="20"/>
      <c r="Q103" s="28"/>
      <c r="R103" s="27"/>
      <c r="S103" s="20"/>
      <c r="T103" s="20"/>
      <c r="U103" s="20"/>
      <c r="V103" s="19" t="s">
        <v>157</v>
      </c>
      <c r="W103" s="20"/>
      <c r="X103" s="20"/>
      <c r="Y103" s="11"/>
      <c r="Z103" s="1"/>
      <c r="AA103" s="21" t="s">
        <v>184</v>
      </c>
      <c r="AB103" s="20"/>
      <c r="AC103" s="20"/>
      <c r="AD103" s="20"/>
      <c r="AE103" s="37"/>
      <c r="AF103" s="24"/>
      <c r="AG103" s="24"/>
      <c r="AH103" s="24"/>
      <c r="AI103" s="62">
        <f>0.967*$AG$4*$AF$9^4/($AM$5*1000*$AM$6/100000000*100)</f>
        <v>2.9979619770665322E-3</v>
      </c>
      <c r="AJ103" s="62"/>
      <c r="AK103" s="62"/>
      <c r="AL103" s="37" t="s">
        <v>160</v>
      </c>
      <c r="AM103" s="56" t="s">
        <v>164</v>
      </c>
      <c r="AN103" s="62">
        <f>+AI103*1000</f>
        <v>2.9979619770665322</v>
      </c>
      <c r="AO103" s="62"/>
      <c r="AP103" s="62"/>
      <c r="AQ103" s="37" t="s">
        <v>165</v>
      </c>
      <c r="AR103" s="44"/>
      <c r="AS103" s="43"/>
      <c r="AT103" s="37"/>
      <c r="AU103" s="37"/>
      <c r="AV103" s="37"/>
      <c r="AW103" s="37"/>
      <c r="AX103" s="37"/>
      <c r="AY103" s="37"/>
      <c r="AZ103" s="37"/>
      <c r="BA103" s="44"/>
      <c r="BB103" s="42"/>
    </row>
    <row r="104" spans="2:54">
      <c r="B104" s="38"/>
      <c r="C104" s="71"/>
      <c r="D104" s="20"/>
      <c r="E104" s="20"/>
      <c r="F104" s="20"/>
      <c r="G104" s="20"/>
      <c r="H104" s="27"/>
      <c r="I104" s="27"/>
      <c r="J104" s="20"/>
      <c r="K104" s="27"/>
      <c r="L104" s="27"/>
      <c r="M104" s="20"/>
      <c r="N104" s="27"/>
      <c r="O104" s="27"/>
      <c r="P104" s="20"/>
      <c r="Q104" s="28"/>
      <c r="R104" s="27"/>
      <c r="S104" s="20"/>
      <c r="T104" s="20"/>
      <c r="U104" s="20"/>
      <c r="V104" s="19" t="s">
        <v>158</v>
      </c>
      <c r="W104" s="20"/>
      <c r="X104" s="20"/>
      <c r="Y104" s="11"/>
      <c r="Z104" s="1"/>
      <c r="AA104" s="21" t="s">
        <v>185</v>
      </c>
      <c r="AB104" s="20"/>
      <c r="AC104" s="20"/>
      <c r="AD104" s="20"/>
      <c r="AE104" s="37"/>
      <c r="AF104" s="24"/>
      <c r="AG104" s="24"/>
      <c r="AH104" s="24"/>
      <c r="AI104" s="62">
        <f>-0.558*$AG$4*$AF$9^4/($AM$5*1000*$AM$6/100000000*100)</f>
        <v>-1.7299511718750003E-3</v>
      </c>
      <c r="AJ104" s="62"/>
      <c r="AK104" s="62"/>
      <c r="AL104" s="37" t="s">
        <v>160</v>
      </c>
      <c r="AM104" s="56" t="s">
        <v>164</v>
      </c>
      <c r="AN104" s="62">
        <f>+AI104*1000</f>
        <v>-1.7299511718750002</v>
      </c>
      <c r="AO104" s="62"/>
      <c r="AP104" s="62"/>
      <c r="AQ104" s="37" t="s">
        <v>165</v>
      </c>
      <c r="AR104" s="44"/>
      <c r="AS104" s="43"/>
      <c r="AT104" s="37"/>
      <c r="AU104" s="37"/>
      <c r="AV104" s="37"/>
      <c r="AW104" s="37"/>
      <c r="AX104" s="37"/>
      <c r="AY104" s="37"/>
      <c r="AZ104" s="37"/>
      <c r="BA104" s="44"/>
      <c r="BB104" s="42"/>
    </row>
    <row r="105" spans="2:54">
      <c r="B105" s="38"/>
      <c r="C105" s="71"/>
      <c r="D105" s="20"/>
      <c r="E105" s="20"/>
      <c r="F105" s="20"/>
      <c r="G105" s="20"/>
      <c r="H105" s="27"/>
      <c r="I105" s="27"/>
      <c r="J105" s="20"/>
      <c r="K105" s="27"/>
      <c r="L105" s="27"/>
      <c r="M105" s="20"/>
      <c r="N105" s="27"/>
      <c r="O105" s="27"/>
      <c r="P105" s="20"/>
      <c r="Q105" s="28"/>
      <c r="R105" s="27"/>
      <c r="S105" s="20"/>
      <c r="T105" s="20"/>
      <c r="U105" s="20"/>
      <c r="V105" s="19" t="s">
        <v>166</v>
      </c>
      <c r="W105" s="20"/>
      <c r="X105" s="20"/>
      <c r="Y105" s="11"/>
      <c r="Z105" s="1"/>
      <c r="AA105" s="21" t="s">
        <v>186</v>
      </c>
      <c r="AB105" s="20"/>
      <c r="AC105" s="20"/>
      <c r="AD105" s="20"/>
      <c r="AE105" s="37"/>
      <c r="AF105" s="24"/>
      <c r="AG105" s="24"/>
      <c r="AH105" s="24"/>
      <c r="AI105" s="62">
        <f>0.744*$AG$4*$AF$9^4/($AM$5*1000*$AM$6/100000000*100)</f>
        <v>2.3066015625000003E-3</v>
      </c>
      <c r="AJ105" s="62"/>
      <c r="AK105" s="62"/>
      <c r="AL105" s="37" t="s">
        <v>160</v>
      </c>
      <c r="AM105" s="56" t="s">
        <v>164</v>
      </c>
      <c r="AN105" s="62">
        <f>+AI105*1000</f>
        <v>2.3066015625000005</v>
      </c>
      <c r="AO105" s="62"/>
      <c r="AP105" s="62"/>
      <c r="AQ105" s="37" t="s">
        <v>165</v>
      </c>
      <c r="AR105" s="44"/>
      <c r="AS105" s="43"/>
      <c r="AT105" s="37"/>
      <c r="AU105" s="37"/>
      <c r="AV105" s="37"/>
      <c r="AW105" s="37"/>
      <c r="AX105" s="37"/>
      <c r="AY105" s="37"/>
      <c r="AZ105" s="37"/>
      <c r="BA105" s="44"/>
      <c r="BB105" s="42"/>
    </row>
    <row r="106" spans="2:54">
      <c r="B106" s="38"/>
      <c r="C106" s="71"/>
      <c r="D106" s="20"/>
      <c r="E106" s="20"/>
      <c r="F106" s="20"/>
      <c r="G106" s="20"/>
      <c r="H106" s="27"/>
      <c r="I106" s="27"/>
      <c r="J106" s="20"/>
      <c r="K106" s="27"/>
      <c r="L106" s="27"/>
      <c r="M106" s="20"/>
      <c r="N106" s="27"/>
      <c r="O106" s="27"/>
      <c r="P106" s="20"/>
      <c r="Q106" s="28"/>
      <c r="R106" s="27"/>
      <c r="S106" s="20"/>
      <c r="T106" s="20"/>
      <c r="U106" s="20"/>
      <c r="V106" s="19" t="s">
        <v>180</v>
      </c>
      <c r="W106" s="20"/>
      <c r="X106" s="20"/>
      <c r="Y106" s="11"/>
      <c r="Z106" s="1"/>
      <c r="AA106" s="21" t="s">
        <v>187</v>
      </c>
      <c r="AB106" s="20"/>
      <c r="AC106" s="20"/>
      <c r="AD106" s="20"/>
      <c r="AE106" s="37"/>
      <c r="AF106" s="24"/>
      <c r="AG106" s="24"/>
      <c r="AH106" s="24"/>
      <c r="AI106" s="62">
        <f>-0.355*$AG$4*$AF$9^4/($AM$5*1000*$AM$6/100000000*100)</f>
        <v>-1.1005961756552418E-3</v>
      </c>
      <c r="AJ106" s="62"/>
      <c r="AK106" s="62"/>
      <c r="AL106" s="37" t="s">
        <v>160</v>
      </c>
      <c r="AM106" s="56" t="s">
        <v>164</v>
      </c>
      <c r="AN106" s="62">
        <f>+AI106*1000</f>
        <v>-1.1005961756552418</v>
      </c>
      <c r="AO106" s="62"/>
      <c r="AP106" s="62"/>
      <c r="AQ106" s="37" t="s">
        <v>165</v>
      </c>
      <c r="AR106" s="44"/>
      <c r="AS106" s="43"/>
      <c r="AT106" s="37"/>
      <c r="AU106" s="37"/>
      <c r="AV106" s="37"/>
      <c r="AW106" s="37"/>
      <c r="AX106" s="37"/>
      <c r="AY106" s="37"/>
      <c r="AZ106" s="37"/>
      <c r="BA106" s="44"/>
      <c r="BB106" s="42"/>
    </row>
    <row r="107" spans="2:54">
      <c r="B107" s="38"/>
      <c r="C107" s="71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11"/>
      <c r="Z107" s="6"/>
      <c r="AA107" s="7"/>
      <c r="AB107" s="7"/>
      <c r="AC107" s="7"/>
      <c r="AD107" s="7"/>
      <c r="AE107" s="48"/>
      <c r="AF107" s="7"/>
      <c r="AG107" s="7"/>
      <c r="AH107" s="7"/>
      <c r="AI107" s="48"/>
      <c r="AJ107" s="48"/>
      <c r="AK107" s="48"/>
      <c r="AL107" s="48"/>
      <c r="AM107" s="48"/>
      <c r="AN107" s="48"/>
      <c r="AO107" s="48"/>
      <c r="AP107" s="48"/>
      <c r="AQ107" s="48"/>
      <c r="AR107" s="49"/>
      <c r="AS107" s="43"/>
      <c r="AT107" s="37"/>
      <c r="AU107" s="37"/>
      <c r="AV107" s="37"/>
      <c r="AW107" s="37"/>
      <c r="AX107" s="37"/>
      <c r="AY107" s="37"/>
      <c r="AZ107" s="37"/>
      <c r="BA107" s="44"/>
      <c r="BB107" s="42"/>
    </row>
    <row r="108" spans="2:54">
      <c r="B108" s="38"/>
      <c r="C108" s="7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9"/>
      <c r="Z108" s="13"/>
      <c r="AA108" s="14"/>
      <c r="AB108" s="14"/>
      <c r="AC108" s="14"/>
      <c r="AD108" s="14"/>
      <c r="AE108" s="40"/>
      <c r="AF108" s="14"/>
      <c r="AG108" s="14"/>
      <c r="AH108" s="14"/>
      <c r="AI108" s="40"/>
      <c r="AJ108" s="40"/>
      <c r="AK108" s="40"/>
      <c r="AL108" s="40"/>
      <c r="AM108" s="40"/>
      <c r="AN108" s="40"/>
      <c r="AO108" s="40"/>
      <c r="AP108" s="40"/>
      <c r="AQ108" s="40"/>
      <c r="AR108" s="41"/>
      <c r="AS108" s="43"/>
      <c r="AT108" s="37"/>
      <c r="AU108" s="37"/>
      <c r="AV108" s="37"/>
      <c r="AW108" s="37"/>
      <c r="AX108" s="37"/>
      <c r="AY108" s="37"/>
      <c r="AZ108" s="37"/>
      <c r="BA108" s="44"/>
      <c r="BB108" s="42"/>
    </row>
    <row r="109" spans="2:54">
      <c r="B109" s="38"/>
      <c r="C109" s="71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 t="s">
        <v>17</v>
      </c>
      <c r="W109" s="20"/>
      <c r="X109" s="20"/>
      <c r="Y109" s="11"/>
      <c r="Z109" s="1"/>
      <c r="AA109" s="29" t="s">
        <v>24</v>
      </c>
      <c r="AB109" s="20"/>
      <c r="AC109" s="20"/>
      <c r="AD109" s="20"/>
      <c r="AE109" s="37"/>
      <c r="AF109" s="20"/>
      <c r="AG109" s="20"/>
      <c r="AH109" s="20"/>
      <c r="AI109" s="37"/>
      <c r="AJ109" s="37"/>
      <c r="AK109" s="37"/>
      <c r="AL109" s="37"/>
      <c r="AM109" s="37"/>
      <c r="AN109" s="37"/>
      <c r="AO109" s="37"/>
      <c r="AP109" s="37"/>
      <c r="AQ109" s="37"/>
      <c r="AR109" s="44"/>
      <c r="AS109" s="43"/>
      <c r="AT109" s="37"/>
      <c r="AU109" s="37"/>
      <c r="AV109" s="37"/>
      <c r="AW109" s="37"/>
      <c r="AX109" s="37"/>
      <c r="AY109" s="37"/>
      <c r="AZ109" s="37"/>
      <c r="BA109" s="44"/>
      <c r="BB109" s="42"/>
    </row>
    <row r="110" spans="2:54" ht="12" thickBot="1">
      <c r="B110" s="38"/>
      <c r="C110" s="71"/>
      <c r="D110" s="20"/>
      <c r="E110" s="20"/>
      <c r="F110" s="20"/>
      <c r="G110" s="20"/>
      <c r="H110" s="10"/>
      <c r="I110" s="10"/>
      <c r="J110" s="10"/>
      <c r="K110" s="25"/>
      <c r="L110" s="25"/>
      <c r="M110" s="25"/>
      <c r="N110" s="10"/>
      <c r="O110" s="10"/>
      <c r="P110" s="10"/>
      <c r="Q110" s="16"/>
      <c r="R110" s="16"/>
      <c r="S110" s="16"/>
      <c r="T110" s="20"/>
      <c r="U110" s="20"/>
      <c r="V110" s="20" t="s">
        <v>40</v>
      </c>
      <c r="W110" s="20"/>
      <c r="X110" s="20"/>
      <c r="Y110" s="11"/>
      <c r="Z110" s="1"/>
      <c r="AA110" s="20" t="s">
        <v>28</v>
      </c>
      <c r="AB110" s="20"/>
      <c r="AC110" s="20"/>
      <c r="AD110" s="20"/>
      <c r="AE110" s="37"/>
      <c r="AF110" s="66">
        <f>0.08*$AG$4*$AF$9^2</f>
        <v>4.8599999999999994</v>
      </c>
      <c r="AG110" s="66"/>
      <c r="AH110" s="66"/>
      <c r="AI110" s="37" t="s">
        <v>161</v>
      </c>
      <c r="AJ110" s="37"/>
      <c r="AK110" s="37"/>
      <c r="AL110" s="37"/>
      <c r="AM110" s="37"/>
      <c r="AN110" s="37"/>
      <c r="AO110" s="37"/>
      <c r="AP110" s="37"/>
      <c r="AQ110" s="37"/>
      <c r="AR110" s="44"/>
      <c r="AS110" s="43"/>
      <c r="AT110" s="37"/>
      <c r="AU110" s="37"/>
      <c r="AV110" s="37"/>
      <c r="AW110" s="37"/>
      <c r="AX110" s="37"/>
      <c r="AY110" s="37"/>
      <c r="AZ110" s="37"/>
      <c r="BA110" s="44"/>
      <c r="BB110" s="42"/>
    </row>
    <row r="111" spans="2:54">
      <c r="B111" s="38"/>
      <c r="C111" s="71"/>
      <c r="D111" s="20"/>
      <c r="E111" s="20"/>
      <c r="F111" s="20"/>
      <c r="G111" s="20"/>
      <c r="H111" s="20"/>
      <c r="I111" s="27">
        <v>1</v>
      </c>
      <c r="J111" s="20"/>
      <c r="K111" s="20"/>
      <c r="L111" s="27">
        <v>2</v>
      </c>
      <c r="M111" s="20"/>
      <c r="N111" s="20"/>
      <c r="O111" s="27">
        <v>3</v>
      </c>
      <c r="P111" s="20"/>
      <c r="Q111" s="20"/>
      <c r="R111" s="27">
        <v>4</v>
      </c>
      <c r="S111" s="20"/>
      <c r="T111" s="20"/>
      <c r="U111" s="20"/>
      <c r="V111" s="20" t="s">
        <v>72</v>
      </c>
      <c r="W111" s="20"/>
      <c r="X111" s="20"/>
      <c r="Y111" s="11"/>
      <c r="Z111" s="1"/>
      <c r="AA111" s="26" t="s">
        <v>73</v>
      </c>
      <c r="AB111" s="20"/>
      <c r="AC111" s="20"/>
      <c r="AD111" s="20"/>
      <c r="AE111" s="37"/>
      <c r="AF111" s="66">
        <f>-0.054*$AG$4*$AF$9^2</f>
        <v>-3.2805</v>
      </c>
      <c r="AG111" s="66"/>
      <c r="AH111" s="66"/>
      <c r="AI111" s="37" t="s">
        <v>161</v>
      </c>
      <c r="AJ111" s="37"/>
      <c r="AK111" s="37"/>
      <c r="AL111" s="37"/>
      <c r="AM111" s="37"/>
      <c r="AN111" s="37"/>
      <c r="AO111" s="37"/>
      <c r="AP111" s="37"/>
      <c r="AQ111" s="37"/>
      <c r="AR111" s="44"/>
      <c r="AS111" s="43"/>
      <c r="AT111" s="37"/>
      <c r="AU111" s="37"/>
      <c r="AV111" s="37"/>
      <c r="AW111" s="37"/>
      <c r="AX111" s="37"/>
      <c r="AY111" s="37"/>
      <c r="AZ111" s="37"/>
      <c r="BA111" s="44"/>
      <c r="BB111" s="42"/>
    </row>
    <row r="112" spans="2:54">
      <c r="B112" s="38"/>
      <c r="C112" s="71"/>
      <c r="D112" s="20"/>
      <c r="E112" s="20"/>
      <c r="F112" s="20"/>
      <c r="G112" s="67" t="s">
        <v>8</v>
      </c>
      <c r="H112" s="67"/>
      <c r="I112" s="27"/>
      <c r="J112" s="67" t="s">
        <v>10</v>
      </c>
      <c r="K112" s="67"/>
      <c r="L112" s="27"/>
      <c r="M112" s="67" t="s">
        <v>11</v>
      </c>
      <c r="N112" s="67"/>
      <c r="O112" s="27"/>
      <c r="P112" s="67" t="s">
        <v>32</v>
      </c>
      <c r="Q112" s="67"/>
      <c r="R112" s="27"/>
      <c r="S112" s="67" t="s">
        <v>63</v>
      </c>
      <c r="T112" s="67"/>
      <c r="U112" s="20"/>
      <c r="V112" s="20" t="s">
        <v>47</v>
      </c>
      <c r="W112" s="20"/>
      <c r="X112" s="20"/>
      <c r="Y112" s="11"/>
      <c r="Z112" s="1"/>
      <c r="AA112" s="26" t="s">
        <v>74</v>
      </c>
      <c r="AB112" s="20"/>
      <c r="AC112" s="20"/>
      <c r="AD112" s="20"/>
      <c r="AE112" s="37"/>
      <c r="AF112" s="66">
        <f>-0.036*$AG$4*$AF$9^2</f>
        <v>-2.1869999999999998</v>
      </c>
      <c r="AG112" s="66"/>
      <c r="AH112" s="66"/>
      <c r="AI112" s="37" t="s">
        <v>161</v>
      </c>
      <c r="AJ112" s="37"/>
      <c r="AK112" s="37"/>
      <c r="AL112" s="37"/>
      <c r="AM112" s="37"/>
      <c r="AN112" s="37"/>
      <c r="AO112" s="37"/>
      <c r="AP112" s="37"/>
      <c r="AQ112" s="37"/>
      <c r="AR112" s="44"/>
      <c r="AS112" s="43"/>
      <c r="AT112" s="37"/>
      <c r="AU112" s="37"/>
      <c r="AV112" s="37"/>
      <c r="AW112" s="37"/>
      <c r="AX112" s="37"/>
      <c r="AY112" s="37"/>
      <c r="AZ112" s="37"/>
      <c r="BA112" s="44"/>
      <c r="BB112" s="42"/>
    </row>
    <row r="113" spans="2:54">
      <c r="B113" s="38"/>
      <c r="C113" s="71"/>
      <c r="D113" s="20"/>
      <c r="E113" s="20"/>
      <c r="F113" s="20"/>
      <c r="G113" s="20"/>
      <c r="H113" s="27"/>
      <c r="I113" s="27" t="s">
        <v>14</v>
      </c>
      <c r="J113" s="20"/>
      <c r="K113" s="27"/>
      <c r="L113" s="27" t="s">
        <v>14</v>
      </c>
      <c r="M113" s="20"/>
      <c r="N113" s="27"/>
      <c r="O113" s="27" t="s">
        <v>14</v>
      </c>
      <c r="P113" s="20"/>
      <c r="Q113" s="28"/>
      <c r="R113" s="27" t="str">
        <f>+O113</f>
        <v>L</v>
      </c>
      <c r="S113" s="20"/>
      <c r="T113" s="20"/>
      <c r="U113" s="20"/>
      <c r="V113" s="20" t="s">
        <v>25</v>
      </c>
      <c r="W113" s="20"/>
      <c r="X113" s="20"/>
      <c r="Y113" s="11"/>
      <c r="Z113" s="1"/>
      <c r="AA113" s="26" t="s">
        <v>76</v>
      </c>
      <c r="AB113" s="20"/>
      <c r="AC113" s="20"/>
      <c r="AD113" s="20"/>
      <c r="AE113" s="37"/>
      <c r="AF113" s="66">
        <f>-0.054*$AG$4*$AF$9</f>
        <v>-0.72899999999999998</v>
      </c>
      <c r="AG113" s="66"/>
      <c r="AH113" s="66"/>
      <c r="AI113" s="37" t="s">
        <v>162</v>
      </c>
      <c r="AJ113" s="37"/>
      <c r="AK113" s="37"/>
      <c r="AL113" s="37"/>
      <c r="AM113" s="37"/>
      <c r="AN113" s="37"/>
      <c r="AO113" s="37"/>
      <c r="AP113" s="37"/>
      <c r="AQ113" s="37"/>
      <c r="AR113" s="44"/>
      <c r="AS113" s="43"/>
      <c r="AT113" s="37"/>
      <c r="AU113" s="37"/>
      <c r="AV113" s="37"/>
      <c r="AW113" s="37"/>
      <c r="AX113" s="37"/>
      <c r="AY113" s="37"/>
      <c r="AZ113" s="37"/>
      <c r="BA113" s="44"/>
      <c r="BB113" s="42"/>
    </row>
    <row r="114" spans="2:54">
      <c r="B114" s="38"/>
      <c r="C114" s="71"/>
      <c r="D114" s="20"/>
      <c r="E114" s="20"/>
      <c r="F114" s="20"/>
      <c r="G114" s="20"/>
      <c r="H114" s="27"/>
      <c r="I114" s="27"/>
      <c r="J114" s="20"/>
      <c r="K114" s="27"/>
      <c r="L114" s="27"/>
      <c r="M114" s="20"/>
      <c r="N114" s="27"/>
      <c r="O114" s="27"/>
      <c r="P114" s="20"/>
      <c r="Q114" s="28"/>
      <c r="R114" s="27"/>
      <c r="S114" s="20"/>
      <c r="T114" s="20"/>
      <c r="U114" s="20"/>
      <c r="V114" s="19" t="s">
        <v>157</v>
      </c>
      <c r="W114" s="20"/>
      <c r="X114" s="20"/>
      <c r="Y114" s="11"/>
      <c r="Z114" s="1"/>
      <c r="AA114" s="21" t="s">
        <v>187</v>
      </c>
      <c r="AB114" s="20"/>
      <c r="AC114" s="20"/>
      <c r="AD114" s="20"/>
      <c r="AE114" s="37"/>
      <c r="AF114" s="24"/>
      <c r="AG114" s="24"/>
      <c r="AH114" s="24"/>
      <c r="AI114" s="62">
        <f>-0.355*$AG$4*$AF$9^4/($AM$5*1000*$AM$6/100000000*100)</f>
        <v>-1.1005961756552418E-3</v>
      </c>
      <c r="AJ114" s="62"/>
      <c r="AK114" s="62"/>
      <c r="AL114" s="37" t="s">
        <v>160</v>
      </c>
      <c r="AM114" s="56" t="s">
        <v>164</v>
      </c>
      <c r="AN114" s="62">
        <f>+AI114*1000</f>
        <v>-1.1005961756552418</v>
      </c>
      <c r="AO114" s="62"/>
      <c r="AP114" s="62"/>
      <c r="AQ114" s="37" t="s">
        <v>165</v>
      </c>
      <c r="AR114" s="44"/>
      <c r="AS114" s="43"/>
      <c r="AT114" s="37"/>
      <c r="AU114" s="37"/>
      <c r="AV114" s="37"/>
      <c r="AW114" s="37"/>
      <c r="AX114" s="37"/>
      <c r="AY114" s="37"/>
      <c r="AZ114" s="37"/>
      <c r="BA114" s="44"/>
      <c r="BB114" s="42"/>
    </row>
    <row r="115" spans="2:54">
      <c r="B115" s="38"/>
      <c r="C115" s="71"/>
      <c r="D115" s="20"/>
      <c r="E115" s="20"/>
      <c r="F115" s="20"/>
      <c r="G115" s="20"/>
      <c r="H115" s="27"/>
      <c r="I115" s="27"/>
      <c r="J115" s="20"/>
      <c r="K115" s="27"/>
      <c r="L115" s="27"/>
      <c r="M115" s="20"/>
      <c r="N115" s="27"/>
      <c r="O115" s="27"/>
      <c r="P115" s="20"/>
      <c r="Q115" s="28"/>
      <c r="R115" s="27"/>
      <c r="S115" s="20"/>
      <c r="T115" s="20"/>
      <c r="U115" s="20"/>
      <c r="V115" s="19" t="s">
        <v>158</v>
      </c>
      <c r="W115" s="20"/>
      <c r="X115" s="20"/>
      <c r="Y115" s="11"/>
      <c r="Z115" s="1"/>
      <c r="AA115" s="21" t="s">
        <v>186</v>
      </c>
      <c r="AB115" s="20"/>
      <c r="AC115" s="20"/>
      <c r="AD115" s="20"/>
      <c r="AE115" s="37"/>
      <c r="AF115" s="24"/>
      <c r="AG115" s="24"/>
      <c r="AH115" s="24"/>
      <c r="AI115" s="62">
        <f>0.744*$AG$4*$AF$9^4/($AM$5*1000*$AM$6/100000000*100)</f>
        <v>2.3066015625000003E-3</v>
      </c>
      <c r="AJ115" s="62"/>
      <c r="AK115" s="62"/>
      <c r="AL115" s="37" t="s">
        <v>160</v>
      </c>
      <c r="AM115" s="56" t="s">
        <v>164</v>
      </c>
      <c r="AN115" s="62">
        <f>+AI115*1000</f>
        <v>2.3066015625000005</v>
      </c>
      <c r="AO115" s="62"/>
      <c r="AP115" s="62"/>
      <c r="AQ115" s="37" t="s">
        <v>165</v>
      </c>
      <c r="AR115" s="44"/>
      <c r="AS115" s="43"/>
      <c r="AT115" s="37"/>
      <c r="AU115" s="37"/>
      <c r="AV115" s="37"/>
      <c r="AW115" s="37"/>
      <c r="AX115" s="37"/>
      <c r="AY115" s="37"/>
      <c r="AZ115" s="37"/>
      <c r="BA115" s="44"/>
      <c r="BB115" s="42"/>
    </row>
    <row r="116" spans="2:54">
      <c r="B116" s="38"/>
      <c r="C116" s="71"/>
      <c r="D116" s="20"/>
      <c r="E116" s="20"/>
      <c r="F116" s="20"/>
      <c r="G116" s="20"/>
      <c r="H116" s="27"/>
      <c r="I116" s="27"/>
      <c r="J116" s="20"/>
      <c r="K116" s="27"/>
      <c r="L116" s="27"/>
      <c r="M116" s="20"/>
      <c r="N116" s="27"/>
      <c r="O116" s="27"/>
      <c r="P116" s="20"/>
      <c r="Q116" s="28"/>
      <c r="R116" s="27"/>
      <c r="S116" s="20"/>
      <c r="T116" s="20"/>
      <c r="U116" s="20"/>
      <c r="V116" s="19" t="s">
        <v>166</v>
      </c>
      <c r="W116" s="20"/>
      <c r="X116" s="20"/>
      <c r="Y116" s="11"/>
      <c r="Z116" s="1"/>
      <c r="AA116" s="21" t="s">
        <v>185</v>
      </c>
      <c r="AB116" s="20"/>
      <c r="AC116" s="20"/>
      <c r="AD116" s="20"/>
      <c r="AE116" s="37"/>
      <c r="AF116" s="24"/>
      <c r="AG116" s="24"/>
      <c r="AH116" s="24"/>
      <c r="AI116" s="62">
        <f>-0.558*$AG$4*$AF$9^4/($AM$5*1000*$AM$6/100000000*100)</f>
        <v>-1.7299511718750003E-3</v>
      </c>
      <c r="AJ116" s="62"/>
      <c r="AK116" s="62"/>
      <c r="AL116" s="37" t="s">
        <v>160</v>
      </c>
      <c r="AM116" s="56" t="s">
        <v>164</v>
      </c>
      <c r="AN116" s="62">
        <f>+AI116*1000</f>
        <v>-1.7299511718750002</v>
      </c>
      <c r="AO116" s="62"/>
      <c r="AP116" s="62"/>
      <c r="AQ116" s="37" t="s">
        <v>165</v>
      </c>
      <c r="AR116" s="44"/>
      <c r="AS116" s="43"/>
      <c r="AT116" s="37"/>
      <c r="AU116" s="37"/>
      <c r="AV116" s="37"/>
      <c r="AW116" s="37"/>
      <c r="AX116" s="37"/>
      <c r="AY116" s="37"/>
      <c r="AZ116" s="37"/>
      <c r="BA116" s="44"/>
      <c r="BB116" s="42"/>
    </row>
    <row r="117" spans="2:54">
      <c r="B117" s="38"/>
      <c r="C117" s="71"/>
      <c r="D117" s="20"/>
      <c r="E117" s="20"/>
      <c r="F117" s="20"/>
      <c r="G117" s="20"/>
      <c r="H117" s="27"/>
      <c r="I117" s="27"/>
      <c r="J117" s="20"/>
      <c r="K117" s="27"/>
      <c r="L117" s="27"/>
      <c r="M117" s="20"/>
      <c r="N117" s="27"/>
      <c r="O117" s="27"/>
      <c r="P117" s="20"/>
      <c r="Q117" s="28"/>
      <c r="R117" s="27"/>
      <c r="S117" s="20"/>
      <c r="T117" s="20"/>
      <c r="U117" s="20"/>
      <c r="V117" s="19" t="s">
        <v>180</v>
      </c>
      <c r="W117" s="20"/>
      <c r="X117" s="20"/>
      <c r="Y117" s="11"/>
      <c r="Z117" s="1"/>
      <c r="AA117" s="21" t="s">
        <v>184</v>
      </c>
      <c r="AB117" s="20"/>
      <c r="AC117" s="20"/>
      <c r="AD117" s="20"/>
      <c r="AE117" s="37"/>
      <c r="AF117" s="24"/>
      <c r="AG117" s="24"/>
      <c r="AH117" s="24"/>
      <c r="AI117" s="62">
        <f>0.967*$AG$4*$AF$9^4/($AM$5*1000*$AM$6/100000000*100)</f>
        <v>2.9979619770665322E-3</v>
      </c>
      <c r="AJ117" s="62"/>
      <c r="AK117" s="62"/>
      <c r="AL117" s="37" t="s">
        <v>160</v>
      </c>
      <c r="AM117" s="56" t="s">
        <v>164</v>
      </c>
      <c r="AN117" s="62">
        <f>+AI117*1000</f>
        <v>2.9979619770665322</v>
      </c>
      <c r="AO117" s="62"/>
      <c r="AP117" s="62"/>
      <c r="AQ117" s="37" t="s">
        <v>165</v>
      </c>
      <c r="AR117" s="44"/>
      <c r="AS117" s="43"/>
      <c r="AT117" s="37"/>
      <c r="AU117" s="37"/>
      <c r="AV117" s="37"/>
      <c r="AW117" s="37"/>
      <c r="AX117" s="37"/>
      <c r="AY117" s="37"/>
      <c r="AZ117" s="37"/>
      <c r="BA117" s="44"/>
      <c r="BB117" s="42"/>
    </row>
    <row r="118" spans="2:54">
      <c r="B118" s="38"/>
      <c r="C118" s="71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12"/>
      <c r="Z118" s="6"/>
      <c r="AA118" s="7"/>
      <c r="AB118" s="7"/>
      <c r="AC118" s="7"/>
      <c r="AD118" s="7"/>
      <c r="AE118" s="48"/>
      <c r="AF118" s="7"/>
      <c r="AG118" s="7"/>
      <c r="AH118" s="7"/>
      <c r="AI118" s="48"/>
      <c r="AJ118" s="48"/>
      <c r="AK118" s="48"/>
      <c r="AL118" s="48"/>
      <c r="AM118" s="48"/>
      <c r="AN118" s="48"/>
      <c r="AO118" s="48"/>
      <c r="AP118" s="48"/>
      <c r="AQ118" s="48"/>
      <c r="AR118" s="49"/>
      <c r="AS118" s="43"/>
      <c r="AT118" s="37"/>
      <c r="AU118" s="37"/>
      <c r="AV118" s="37"/>
      <c r="AW118" s="37"/>
      <c r="AX118" s="37"/>
      <c r="AY118" s="37"/>
      <c r="AZ118" s="37"/>
      <c r="BA118" s="44"/>
      <c r="BB118" s="42"/>
    </row>
    <row r="119" spans="2:54">
      <c r="B119" s="38"/>
      <c r="C119" s="71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11"/>
      <c r="Z119" s="13"/>
      <c r="AA119" s="14"/>
      <c r="AB119" s="14"/>
      <c r="AC119" s="14"/>
      <c r="AD119" s="14"/>
      <c r="AE119" s="40"/>
      <c r="AF119" s="14"/>
      <c r="AG119" s="14"/>
      <c r="AH119" s="14"/>
      <c r="AI119" s="40"/>
      <c r="AJ119" s="40"/>
      <c r="AK119" s="40"/>
      <c r="AL119" s="40"/>
      <c r="AM119" s="40"/>
      <c r="AN119" s="40"/>
      <c r="AO119" s="40"/>
      <c r="AP119" s="40"/>
      <c r="AQ119" s="40"/>
      <c r="AR119" s="41"/>
      <c r="AS119" s="43"/>
      <c r="AT119" s="37"/>
      <c r="AU119" s="37"/>
      <c r="AV119" s="37"/>
      <c r="AW119" s="37"/>
      <c r="AX119" s="37"/>
      <c r="AY119" s="37"/>
      <c r="AZ119" s="37"/>
      <c r="BA119" s="44"/>
      <c r="BB119" s="42"/>
    </row>
    <row r="120" spans="2:54">
      <c r="B120" s="38"/>
      <c r="C120" s="7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 t="s">
        <v>6</v>
      </c>
      <c r="W120" s="20"/>
      <c r="X120" s="20"/>
      <c r="Y120" s="11"/>
      <c r="Z120" s="1"/>
      <c r="AA120" s="26" t="s">
        <v>77</v>
      </c>
      <c r="AB120" s="20"/>
      <c r="AC120" s="20"/>
      <c r="AD120" s="20"/>
      <c r="AE120" s="37"/>
      <c r="AF120" s="66">
        <f>-0.121*$AG$4*$AF$9^2</f>
        <v>-7.3507499999999997</v>
      </c>
      <c r="AG120" s="66"/>
      <c r="AH120" s="66"/>
      <c r="AI120" s="37" t="s">
        <v>161</v>
      </c>
      <c r="AJ120" s="37"/>
      <c r="AK120" s="37"/>
      <c r="AL120" s="37"/>
      <c r="AM120" s="37"/>
      <c r="AN120" s="37"/>
      <c r="AO120" s="37"/>
      <c r="AP120" s="37"/>
      <c r="AQ120" s="37"/>
      <c r="AR120" s="44"/>
      <c r="AS120" s="43"/>
      <c r="AT120" s="37"/>
      <c r="AU120" s="37"/>
      <c r="AV120" s="37"/>
      <c r="AW120" s="37"/>
      <c r="AX120" s="37"/>
      <c r="AY120" s="37"/>
      <c r="AZ120" s="37"/>
      <c r="BA120" s="44"/>
      <c r="BB120" s="42"/>
    </row>
    <row r="121" spans="2:54" ht="12" thickBot="1">
      <c r="B121" s="38"/>
      <c r="C121" s="71"/>
      <c r="D121" s="20"/>
      <c r="E121" s="20"/>
      <c r="F121" s="20"/>
      <c r="G121" s="20"/>
      <c r="H121" s="25"/>
      <c r="I121" s="25"/>
      <c r="J121" s="33"/>
      <c r="K121" s="25"/>
      <c r="L121" s="25"/>
      <c r="M121" s="25"/>
      <c r="N121" s="10"/>
      <c r="O121" s="10"/>
      <c r="P121" s="10"/>
      <c r="Q121" s="16"/>
      <c r="R121" s="16"/>
      <c r="S121" s="16"/>
      <c r="T121" s="20"/>
      <c r="U121" s="20"/>
      <c r="V121" s="20" t="s">
        <v>47</v>
      </c>
      <c r="W121" s="20"/>
      <c r="X121" s="20"/>
      <c r="Y121" s="11"/>
      <c r="Z121" s="1"/>
      <c r="AA121" s="26" t="s">
        <v>78</v>
      </c>
      <c r="AB121" s="20"/>
      <c r="AC121" s="20"/>
      <c r="AD121" s="20"/>
      <c r="AE121" s="37"/>
      <c r="AF121" s="66">
        <f>-0.018*$AG$4*$AF$9^2</f>
        <v>-1.0934999999999999</v>
      </c>
      <c r="AG121" s="66"/>
      <c r="AH121" s="66"/>
      <c r="AI121" s="37" t="s">
        <v>161</v>
      </c>
      <c r="AJ121" s="37"/>
      <c r="AK121" s="37"/>
      <c r="AL121" s="37"/>
      <c r="AM121" s="37"/>
      <c r="AN121" s="37"/>
      <c r="AO121" s="37"/>
      <c r="AP121" s="37"/>
      <c r="AQ121" s="37"/>
      <c r="AR121" s="44"/>
      <c r="AS121" s="43"/>
      <c r="AT121" s="37"/>
      <c r="AU121" s="37"/>
      <c r="AV121" s="37"/>
      <c r="AW121" s="37"/>
      <c r="AX121" s="37"/>
      <c r="AY121" s="37"/>
      <c r="AZ121" s="37"/>
      <c r="BA121" s="44"/>
      <c r="BB121" s="42"/>
    </row>
    <row r="122" spans="2:54">
      <c r="B122" s="38"/>
      <c r="C122" s="71"/>
      <c r="D122" s="20"/>
      <c r="E122" s="20"/>
      <c r="F122" s="20"/>
      <c r="G122" s="20"/>
      <c r="H122" s="20"/>
      <c r="I122" s="27">
        <v>1</v>
      </c>
      <c r="J122" s="20"/>
      <c r="K122" s="20"/>
      <c r="L122" s="27">
        <v>2</v>
      </c>
      <c r="M122" s="20"/>
      <c r="N122" s="20"/>
      <c r="O122" s="27">
        <v>3</v>
      </c>
      <c r="P122" s="20"/>
      <c r="Q122" s="20"/>
      <c r="R122" s="27">
        <v>4</v>
      </c>
      <c r="S122" s="20"/>
      <c r="T122" s="20"/>
      <c r="U122" s="20"/>
      <c r="V122" s="20" t="s">
        <v>79</v>
      </c>
      <c r="W122" s="20"/>
      <c r="X122" s="20"/>
      <c r="Y122" s="11"/>
      <c r="Z122" s="1"/>
      <c r="AA122" s="26" t="s">
        <v>80</v>
      </c>
      <c r="AB122" s="20"/>
      <c r="AC122" s="20"/>
      <c r="AD122" s="20"/>
      <c r="AE122" s="37"/>
      <c r="AF122" s="66">
        <f>-0.058*$AG$4*$AF$9^2</f>
        <v>-3.5235000000000003</v>
      </c>
      <c r="AG122" s="66"/>
      <c r="AH122" s="66"/>
      <c r="AI122" s="37" t="s">
        <v>161</v>
      </c>
      <c r="AJ122" s="37"/>
      <c r="AK122" s="37"/>
      <c r="AL122" s="37"/>
      <c r="AM122" s="37"/>
      <c r="AN122" s="37"/>
      <c r="AO122" s="37"/>
      <c r="AP122" s="37"/>
      <c r="AQ122" s="37"/>
      <c r="AR122" s="44"/>
      <c r="AS122" s="43"/>
      <c r="AT122" s="37"/>
      <c r="AU122" s="37"/>
      <c r="AV122" s="37"/>
      <c r="AW122" s="37"/>
      <c r="AX122" s="37"/>
      <c r="AY122" s="37"/>
      <c r="AZ122" s="37"/>
      <c r="BA122" s="44"/>
      <c r="BB122" s="42"/>
    </row>
    <row r="123" spans="2:54">
      <c r="B123" s="38"/>
      <c r="C123" s="71"/>
      <c r="D123" s="20"/>
      <c r="E123" s="20"/>
      <c r="F123" s="20"/>
      <c r="G123" s="67" t="s">
        <v>8</v>
      </c>
      <c r="H123" s="67"/>
      <c r="I123" s="27"/>
      <c r="J123" s="67" t="s">
        <v>10</v>
      </c>
      <c r="K123" s="67"/>
      <c r="L123" s="27"/>
      <c r="M123" s="67" t="s">
        <v>11</v>
      </c>
      <c r="N123" s="67"/>
      <c r="O123" s="27"/>
      <c r="P123" s="67" t="s">
        <v>32</v>
      </c>
      <c r="Q123" s="67"/>
      <c r="R123" s="27"/>
      <c r="S123" s="67" t="s">
        <v>63</v>
      </c>
      <c r="T123" s="67"/>
      <c r="U123" s="20"/>
      <c r="V123" s="20" t="s">
        <v>81</v>
      </c>
      <c r="W123" s="20"/>
      <c r="X123" s="20"/>
      <c r="Y123" s="11"/>
      <c r="Z123" s="1"/>
      <c r="AA123" s="20" t="s">
        <v>82</v>
      </c>
      <c r="AB123" s="20"/>
      <c r="AC123" s="20"/>
      <c r="AD123" s="20"/>
      <c r="AE123" s="37"/>
      <c r="AF123" s="66">
        <f>1.223*$AG$4*$AF$9</f>
        <v>16.5105</v>
      </c>
      <c r="AG123" s="66"/>
      <c r="AH123" s="66"/>
      <c r="AI123" s="37" t="s">
        <v>162</v>
      </c>
      <c r="AJ123" s="37"/>
      <c r="AK123" s="37"/>
      <c r="AL123" s="37"/>
      <c r="AM123" s="37"/>
      <c r="AN123" s="37"/>
      <c r="AO123" s="37"/>
      <c r="AP123" s="37"/>
      <c r="AQ123" s="37"/>
      <c r="AR123" s="44"/>
      <c r="AS123" s="43"/>
      <c r="AT123" s="37"/>
      <c r="AU123" s="37"/>
      <c r="AV123" s="37"/>
      <c r="AW123" s="37"/>
      <c r="AX123" s="37"/>
      <c r="AY123" s="37"/>
      <c r="AZ123" s="37"/>
      <c r="BA123" s="44"/>
      <c r="BB123" s="42"/>
    </row>
    <row r="124" spans="2:54">
      <c r="B124" s="38"/>
      <c r="C124" s="71"/>
      <c r="D124" s="20"/>
      <c r="E124" s="20"/>
      <c r="F124" s="20"/>
      <c r="G124" s="20"/>
      <c r="H124" s="27"/>
      <c r="I124" s="27" t="s">
        <v>14</v>
      </c>
      <c r="J124" s="20"/>
      <c r="K124" s="27"/>
      <c r="L124" s="27" t="s">
        <v>14</v>
      </c>
      <c r="M124" s="20"/>
      <c r="N124" s="27"/>
      <c r="O124" s="27" t="s">
        <v>14</v>
      </c>
      <c r="P124" s="20"/>
      <c r="Q124" s="28"/>
      <c r="R124" s="27" t="str">
        <f>+O124</f>
        <v>L</v>
      </c>
      <c r="S124" s="20"/>
      <c r="T124" s="20"/>
      <c r="U124" s="20"/>
      <c r="V124" s="20" t="s">
        <v>83</v>
      </c>
      <c r="W124" s="20"/>
      <c r="X124" s="20"/>
      <c r="Y124" s="11"/>
      <c r="Z124" s="1"/>
      <c r="AA124" s="26" t="s">
        <v>84</v>
      </c>
      <c r="AB124" s="20"/>
      <c r="AC124" s="20"/>
      <c r="AD124" s="20"/>
      <c r="AE124" s="37"/>
      <c r="AF124" s="66">
        <f>-0.621*$AG$4*$AF$9</f>
        <v>-8.3834999999999997</v>
      </c>
      <c r="AG124" s="66"/>
      <c r="AH124" s="66"/>
      <c r="AI124" s="37" t="s">
        <v>162</v>
      </c>
      <c r="AJ124" s="37"/>
      <c r="AK124" s="37"/>
      <c r="AL124" s="37"/>
      <c r="AM124" s="37"/>
      <c r="AN124" s="37"/>
      <c r="AO124" s="37"/>
      <c r="AP124" s="37"/>
      <c r="AQ124" s="37"/>
      <c r="AR124" s="44"/>
      <c r="AS124" s="43"/>
      <c r="AT124" s="19" t="s">
        <v>222</v>
      </c>
      <c r="AU124" s="37"/>
      <c r="AV124" s="37"/>
      <c r="AW124" s="37"/>
      <c r="AX124" s="37"/>
      <c r="AY124" s="37"/>
      <c r="AZ124" s="37"/>
      <c r="BA124" s="44"/>
      <c r="BB124" s="42"/>
    </row>
    <row r="125" spans="2:54">
      <c r="B125" s="38"/>
      <c r="C125" s="71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 t="s">
        <v>85</v>
      </c>
      <c r="W125" s="20"/>
      <c r="X125" s="20"/>
      <c r="Y125" s="11"/>
      <c r="Z125" s="1"/>
      <c r="AA125" s="20" t="s">
        <v>86</v>
      </c>
      <c r="AB125" s="20"/>
      <c r="AC125" s="20"/>
      <c r="AD125" s="20"/>
      <c r="AE125" s="37"/>
      <c r="AF125" s="66">
        <f>0.603*$AG$4*$AF$9</f>
        <v>8.1404999999999994</v>
      </c>
      <c r="AG125" s="66"/>
      <c r="AH125" s="66"/>
      <c r="AI125" s="37" t="s">
        <v>162</v>
      </c>
      <c r="AJ125" s="37"/>
      <c r="AK125" s="37"/>
      <c r="AL125" s="37"/>
      <c r="AM125" s="37"/>
      <c r="AN125" s="37"/>
      <c r="AO125" s="37"/>
      <c r="AP125" s="37"/>
      <c r="AQ125" s="37"/>
      <c r="AR125" s="44"/>
      <c r="AS125" s="43"/>
      <c r="AT125" s="19" t="s">
        <v>221</v>
      </c>
      <c r="AU125" s="37"/>
      <c r="AV125" s="37"/>
      <c r="AW125" s="62">
        <f>MAX(ABS(AN92),ABS(AN93),ABS(AN94),ABS(AN95),ABS(AN103),ABS(AN104),ABS(AN105),ABS(AN106),ABS(AN114),ABS(AN115),ABS(AN116),ABS(AN117),ABS(AN126),ABS(AN127),ABS(AN128),ABS(AN129),ABS(AN144),ABS(AN145),ABS(AN146),ABS(AN147))</f>
        <v>2.9979619770665322</v>
      </c>
      <c r="AX125" s="62"/>
      <c r="AY125" s="62"/>
      <c r="AZ125" s="37" t="s">
        <v>165</v>
      </c>
      <c r="BA125" s="44"/>
      <c r="BB125" s="42"/>
    </row>
    <row r="126" spans="2:54">
      <c r="B126" s="38"/>
      <c r="C126" s="71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19" t="s">
        <v>157</v>
      </c>
      <c r="W126" s="20"/>
      <c r="X126" s="20"/>
      <c r="Y126" s="11"/>
      <c r="Z126" s="1"/>
      <c r="AA126" s="21" t="s">
        <v>188</v>
      </c>
      <c r="AB126" s="20"/>
      <c r="AC126" s="20"/>
      <c r="AD126" s="20"/>
      <c r="AE126" s="37"/>
      <c r="AF126" s="24"/>
      <c r="AG126" s="24"/>
      <c r="AH126" s="24"/>
      <c r="AI126" s="62">
        <f>0.549*$AG$4*$AF$9^4/($AM$5*1000*$AM$6/100000000*100)</f>
        <v>1.7020487336189519E-3</v>
      </c>
      <c r="AJ126" s="62"/>
      <c r="AK126" s="62"/>
      <c r="AL126" s="37" t="s">
        <v>160</v>
      </c>
      <c r="AM126" s="56" t="s">
        <v>164</v>
      </c>
      <c r="AN126" s="62">
        <f>+AI126*1000</f>
        <v>1.7020487336189518</v>
      </c>
      <c r="AO126" s="62"/>
      <c r="AP126" s="62"/>
      <c r="AQ126" s="37" t="s">
        <v>165</v>
      </c>
      <c r="AR126" s="44"/>
      <c r="AS126" s="43"/>
      <c r="AT126" s="37"/>
      <c r="AU126" s="37"/>
      <c r="AV126" s="37"/>
      <c r="AW126" s="61" t="str">
        <f>IF(AQ8&gt;AW125,"uygun.","uygun değil.")</f>
        <v>uygun.</v>
      </c>
      <c r="AX126" s="37"/>
      <c r="AY126" s="37"/>
      <c r="AZ126" s="37"/>
      <c r="BA126" s="44"/>
      <c r="BB126" s="42"/>
    </row>
    <row r="127" spans="2:54">
      <c r="B127" s="38"/>
      <c r="C127" s="71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19" t="s">
        <v>158</v>
      </c>
      <c r="W127" s="20"/>
      <c r="X127" s="20"/>
      <c r="Y127" s="11"/>
      <c r="Z127" s="1"/>
      <c r="AA127" s="21" t="s">
        <v>189</v>
      </c>
      <c r="AB127" s="20"/>
      <c r="AC127" s="20"/>
      <c r="AD127" s="20"/>
      <c r="AE127" s="37"/>
      <c r="AF127" s="24"/>
      <c r="AG127" s="24"/>
      <c r="AH127" s="24"/>
      <c r="AI127" s="62">
        <f>0.437*$AG$4*$AF$9^4/($AM$5*1000*$AM$6/100000000*100)</f>
        <v>1.3548183908770161E-3</v>
      </c>
      <c r="AJ127" s="62"/>
      <c r="AK127" s="62"/>
      <c r="AL127" s="37" t="s">
        <v>160</v>
      </c>
      <c r="AM127" s="56" t="s">
        <v>164</v>
      </c>
      <c r="AN127" s="62">
        <f>+AI127*1000</f>
        <v>1.3548183908770162</v>
      </c>
      <c r="AO127" s="62"/>
      <c r="AP127" s="62"/>
      <c r="AQ127" s="37" t="s">
        <v>165</v>
      </c>
      <c r="AR127" s="44"/>
      <c r="AS127" s="43"/>
      <c r="AT127" s="37"/>
      <c r="AU127" s="37"/>
      <c r="AV127" s="37"/>
      <c r="AW127" s="37"/>
      <c r="AX127" s="37"/>
      <c r="AY127" s="37"/>
      <c r="AZ127" s="37"/>
      <c r="BA127" s="44"/>
      <c r="BB127" s="42"/>
    </row>
    <row r="128" spans="2:54">
      <c r="B128" s="38"/>
      <c r="C128" s="71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19" t="s">
        <v>166</v>
      </c>
      <c r="W128" s="20"/>
      <c r="X128" s="20"/>
      <c r="Y128" s="11"/>
      <c r="Z128" s="1"/>
      <c r="AA128" s="21" t="s">
        <v>190</v>
      </c>
      <c r="AB128" s="20"/>
      <c r="AC128" s="20"/>
      <c r="AD128" s="20"/>
      <c r="AE128" s="37"/>
      <c r="AF128" s="24"/>
      <c r="AG128" s="24"/>
      <c r="AH128" s="24"/>
      <c r="AI128" s="62">
        <f>-0.474*$AG$4*$AF$9^4/($AM$5*1000*$AM$6/100000000*100)</f>
        <v>-1.4695284148185483E-3</v>
      </c>
      <c r="AJ128" s="62"/>
      <c r="AK128" s="62"/>
      <c r="AL128" s="37" t="s">
        <v>160</v>
      </c>
      <c r="AM128" s="56" t="s">
        <v>164</v>
      </c>
      <c r="AN128" s="62">
        <f>+AI128*1000</f>
        <v>-1.4695284148185483</v>
      </c>
      <c r="AO128" s="62"/>
      <c r="AP128" s="62"/>
      <c r="AQ128" s="37" t="s">
        <v>165</v>
      </c>
      <c r="AR128" s="44"/>
      <c r="AS128" s="43"/>
      <c r="AT128" s="37"/>
      <c r="AU128" s="37"/>
      <c r="AV128" s="37"/>
      <c r="AW128" s="37"/>
      <c r="AX128" s="37"/>
      <c r="AY128" s="37"/>
      <c r="AZ128" s="37"/>
      <c r="BA128" s="44"/>
      <c r="BB128" s="42"/>
    </row>
    <row r="129" spans="2:54">
      <c r="B129" s="38"/>
      <c r="C129" s="71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19" t="s">
        <v>180</v>
      </c>
      <c r="W129" s="20"/>
      <c r="X129" s="20"/>
      <c r="Y129" s="11"/>
      <c r="Z129" s="1"/>
      <c r="AA129" s="21" t="s">
        <v>191</v>
      </c>
      <c r="AB129" s="20"/>
      <c r="AC129" s="20"/>
      <c r="AD129" s="20"/>
      <c r="AE129" s="37"/>
      <c r="AF129" s="24"/>
      <c r="AG129" s="24"/>
      <c r="AH129" s="24"/>
      <c r="AI129" s="62">
        <f>0.939*$AG$4*$AF$9^4/($AM$5*1000*$AM$6/100000000*100)</f>
        <v>2.9111543913810482E-3</v>
      </c>
      <c r="AJ129" s="62"/>
      <c r="AK129" s="62"/>
      <c r="AL129" s="37" t="s">
        <v>160</v>
      </c>
      <c r="AM129" s="56" t="s">
        <v>164</v>
      </c>
      <c r="AN129" s="62">
        <f>+AI129*1000</f>
        <v>2.9111543913810483</v>
      </c>
      <c r="AO129" s="62"/>
      <c r="AP129" s="62"/>
      <c r="AQ129" s="37" t="s">
        <v>165</v>
      </c>
      <c r="AR129" s="44"/>
      <c r="AS129" s="43"/>
      <c r="AT129" s="37"/>
      <c r="AU129" s="37"/>
      <c r="AV129" s="37"/>
      <c r="AW129" s="37"/>
      <c r="AX129" s="37"/>
      <c r="AY129" s="37"/>
      <c r="AZ129" s="37"/>
      <c r="BA129" s="44"/>
      <c r="BB129" s="42"/>
    </row>
    <row r="130" spans="2:54">
      <c r="B130" s="38"/>
      <c r="C130" s="71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11"/>
      <c r="Z130" s="6"/>
      <c r="AA130" s="7"/>
      <c r="AB130" s="7"/>
      <c r="AC130" s="7"/>
      <c r="AD130" s="7"/>
      <c r="AE130" s="48"/>
      <c r="AF130" s="7"/>
      <c r="AG130" s="7"/>
      <c r="AH130" s="7"/>
      <c r="AI130" s="48"/>
      <c r="AJ130" s="48"/>
      <c r="AK130" s="48"/>
      <c r="AL130" s="48"/>
      <c r="AM130" s="48"/>
      <c r="AN130" s="48"/>
      <c r="AO130" s="48"/>
      <c r="AP130" s="48"/>
      <c r="AQ130" s="48"/>
      <c r="AR130" s="49"/>
      <c r="AS130" s="43"/>
      <c r="AT130" s="37"/>
      <c r="AU130" s="37"/>
      <c r="AV130" s="37"/>
      <c r="AW130" s="37"/>
      <c r="AX130" s="37"/>
      <c r="AY130" s="37"/>
      <c r="AZ130" s="37"/>
      <c r="BA130" s="44"/>
      <c r="BB130" s="42"/>
    </row>
    <row r="131" spans="2:54">
      <c r="B131" s="38"/>
      <c r="C131" s="71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9"/>
      <c r="Z131" s="13"/>
      <c r="AA131" s="14"/>
      <c r="AB131" s="14"/>
      <c r="AC131" s="14"/>
      <c r="AD131" s="14"/>
      <c r="AE131" s="40"/>
      <c r="AF131" s="14"/>
      <c r="AG131" s="14"/>
      <c r="AH131" s="14"/>
      <c r="AI131" s="40"/>
      <c r="AJ131" s="40"/>
      <c r="AK131" s="40"/>
      <c r="AL131" s="40"/>
      <c r="AM131" s="40"/>
      <c r="AN131" s="40"/>
      <c r="AO131" s="40"/>
      <c r="AP131" s="40"/>
      <c r="AQ131" s="40"/>
      <c r="AR131" s="41"/>
      <c r="AS131" s="43"/>
      <c r="AT131" s="37"/>
      <c r="AU131" s="37"/>
      <c r="AV131" s="37"/>
      <c r="AW131" s="37"/>
      <c r="AX131" s="37"/>
      <c r="AY131" s="37"/>
      <c r="AZ131" s="37"/>
      <c r="BA131" s="44"/>
      <c r="BB131" s="42"/>
    </row>
    <row r="132" spans="2:54" ht="12" thickBot="1">
      <c r="B132" s="38"/>
      <c r="C132" s="71"/>
      <c r="D132" s="20"/>
      <c r="E132" s="20"/>
      <c r="F132" s="20"/>
      <c r="G132" s="20"/>
      <c r="H132" s="10"/>
      <c r="I132" s="10"/>
      <c r="J132" s="10"/>
      <c r="K132" s="10"/>
      <c r="L132" s="10"/>
      <c r="M132" s="10"/>
      <c r="N132" s="25"/>
      <c r="O132" s="25"/>
      <c r="P132" s="25"/>
      <c r="Q132" s="10"/>
      <c r="R132" s="10"/>
      <c r="S132" s="10"/>
      <c r="T132" s="20"/>
      <c r="U132" s="20"/>
      <c r="V132" s="20" t="s">
        <v>53</v>
      </c>
      <c r="W132" s="20"/>
      <c r="X132" s="20"/>
      <c r="Y132" s="11"/>
      <c r="Z132" s="1"/>
      <c r="AA132" s="20" t="s">
        <v>87</v>
      </c>
      <c r="AB132" s="20"/>
      <c r="AC132" s="20"/>
      <c r="AD132" s="20"/>
      <c r="AE132" s="37"/>
      <c r="AF132" s="66">
        <f>0.013*$AG$4*$AF$9^2</f>
        <v>0.78974999999999995</v>
      </c>
      <c r="AG132" s="66"/>
      <c r="AH132" s="66"/>
      <c r="AI132" s="37" t="s">
        <v>161</v>
      </c>
      <c r="AJ132" s="37"/>
      <c r="AK132" s="37"/>
      <c r="AL132" s="37"/>
      <c r="AM132" s="37"/>
      <c r="AN132" s="37"/>
      <c r="AO132" s="37"/>
      <c r="AP132" s="37"/>
      <c r="AQ132" s="37"/>
      <c r="AR132" s="44"/>
      <c r="AS132" s="43"/>
      <c r="AT132" s="37"/>
      <c r="AU132" s="37"/>
      <c r="AV132" s="37"/>
      <c r="AW132" s="37"/>
      <c r="AX132" s="37"/>
      <c r="AY132" s="37"/>
      <c r="AZ132" s="37"/>
      <c r="BA132" s="44"/>
      <c r="BB132" s="42"/>
    </row>
    <row r="133" spans="2:54">
      <c r="B133" s="38"/>
      <c r="C133" s="71"/>
      <c r="D133" s="20"/>
      <c r="E133" s="20"/>
      <c r="F133" s="20"/>
      <c r="G133" s="20"/>
      <c r="H133" s="20"/>
      <c r="I133" s="27">
        <v>1</v>
      </c>
      <c r="J133" s="20"/>
      <c r="K133" s="20"/>
      <c r="L133" s="27">
        <v>2</v>
      </c>
      <c r="M133" s="20"/>
      <c r="N133" s="20"/>
      <c r="O133" s="27">
        <v>3</v>
      </c>
      <c r="P133" s="20"/>
      <c r="Q133" s="20"/>
      <c r="R133" s="27">
        <v>4</v>
      </c>
      <c r="S133" s="20"/>
      <c r="T133" s="20"/>
      <c r="U133" s="20"/>
      <c r="V133" s="20" t="s">
        <v>47</v>
      </c>
      <c r="W133" s="20"/>
      <c r="X133" s="20"/>
      <c r="Y133" s="11"/>
      <c r="Z133" s="1"/>
      <c r="AA133" s="26" t="s">
        <v>73</v>
      </c>
      <c r="AB133" s="20"/>
      <c r="AC133" s="20"/>
      <c r="AD133" s="20"/>
      <c r="AE133" s="37"/>
      <c r="AF133" s="66">
        <f>-0.054*$AG$4*$AF$9^2</f>
        <v>-3.2805</v>
      </c>
      <c r="AG133" s="66"/>
      <c r="AH133" s="66"/>
      <c r="AI133" s="37" t="s">
        <v>161</v>
      </c>
      <c r="AJ133" s="37"/>
      <c r="AK133" s="37"/>
      <c r="AL133" s="37"/>
      <c r="AM133" s="37"/>
      <c r="AN133" s="37"/>
      <c r="AO133" s="37"/>
      <c r="AP133" s="37"/>
      <c r="AQ133" s="37"/>
      <c r="AR133" s="44"/>
      <c r="AS133" s="43"/>
      <c r="AT133" s="37"/>
      <c r="AU133" s="37"/>
      <c r="AV133" s="37"/>
      <c r="AW133" s="37"/>
      <c r="AX133" s="37"/>
      <c r="AY133" s="37"/>
      <c r="AZ133" s="37"/>
      <c r="BA133" s="44"/>
      <c r="BB133" s="42"/>
    </row>
    <row r="134" spans="2:54">
      <c r="B134" s="38"/>
      <c r="C134" s="71"/>
      <c r="D134" s="20"/>
      <c r="E134" s="20"/>
      <c r="F134" s="20"/>
      <c r="G134" s="67" t="s">
        <v>8</v>
      </c>
      <c r="H134" s="67"/>
      <c r="I134" s="27"/>
      <c r="J134" s="67" t="s">
        <v>10</v>
      </c>
      <c r="K134" s="67"/>
      <c r="L134" s="27"/>
      <c r="M134" s="67" t="s">
        <v>11</v>
      </c>
      <c r="N134" s="67"/>
      <c r="O134" s="27"/>
      <c r="P134" s="67" t="s">
        <v>32</v>
      </c>
      <c r="Q134" s="67"/>
      <c r="R134" s="27"/>
      <c r="S134" s="67" t="s">
        <v>63</v>
      </c>
      <c r="T134" s="67"/>
      <c r="U134" s="20"/>
      <c r="V134" s="20" t="s">
        <v>79</v>
      </c>
      <c r="W134" s="20"/>
      <c r="X134" s="20"/>
      <c r="Y134" s="11"/>
      <c r="Z134" s="1"/>
      <c r="AA134" s="26" t="s">
        <v>88</v>
      </c>
      <c r="AB134" s="20"/>
      <c r="AC134" s="20"/>
      <c r="AD134" s="20"/>
      <c r="AE134" s="37"/>
      <c r="AF134" s="66">
        <f>-0.049*$AG$4*$AF$9^2</f>
        <v>-2.9767500000000005</v>
      </c>
      <c r="AG134" s="66"/>
      <c r="AH134" s="66"/>
      <c r="AI134" s="37" t="s">
        <v>161</v>
      </c>
      <c r="AJ134" s="37"/>
      <c r="AK134" s="37"/>
      <c r="AL134" s="37"/>
      <c r="AM134" s="37"/>
      <c r="AN134" s="37"/>
      <c r="AO134" s="37"/>
      <c r="AP134" s="37"/>
      <c r="AQ134" s="37"/>
      <c r="AR134" s="44"/>
      <c r="AS134" s="43"/>
      <c r="AT134" s="37"/>
      <c r="AU134" s="37"/>
      <c r="AV134" s="37"/>
      <c r="AW134" s="37"/>
      <c r="AX134" s="37"/>
      <c r="AY134" s="37"/>
      <c r="AZ134" s="37"/>
      <c r="BA134" s="44"/>
      <c r="BB134" s="42"/>
    </row>
    <row r="135" spans="2:54">
      <c r="B135" s="38"/>
      <c r="C135" s="71"/>
      <c r="D135" s="20"/>
      <c r="E135" s="20"/>
      <c r="F135" s="20"/>
      <c r="G135" s="20"/>
      <c r="H135" s="27"/>
      <c r="I135" s="27" t="s">
        <v>14</v>
      </c>
      <c r="J135" s="20"/>
      <c r="K135" s="27"/>
      <c r="L135" s="27" t="s">
        <v>14</v>
      </c>
      <c r="M135" s="20"/>
      <c r="N135" s="27"/>
      <c r="O135" s="27" t="s">
        <v>14</v>
      </c>
      <c r="P135" s="20"/>
      <c r="Q135" s="28"/>
      <c r="R135" s="27" t="str">
        <f>+O135</f>
        <v>L</v>
      </c>
      <c r="S135" s="20"/>
      <c r="T135" s="20"/>
      <c r="U135" s="20"/>
      <c r="V135" s="20" t="s">
        <v>12</v>
      </c>
      <c r="W135" s="20"/>
      <c r="X135" s="20"/>
      <c r="Y135" s="11"/>
      <c r="Z135" s="1"/>
      <c r="AA135" s="26" t="s">
        <v>89</v>
      </c>
      <c r="AB135" s="20"/>
      <c r="AC135" s="20"/>
      <c r="AD135" s="20"/>
      <c r="AE135" s="37"/>
      <c r="AF135" s="66">
        <f>-0.08*$AG$4*$AF$9</f>
        <v>-1.08</v>
      </c>
      <c r="AG135" s="66"/>
      <c r="AH135" s="66"/>
      <c r="AI135" s="37" t="s">
        <v>162</v>
      </c>
      <c r="AJ135" s="37"/>
      <c r="AK135" s="37"/>
      <c r="AL135" s="37"/>
      <c r="AM135" s="37"/>
      <c r="AN135" s="37"/>
      <c r="AO135" s="37"/>
      <c r="AP135" s="37"/>
      <c r="AQ135" s="37"/>
      <c r="AR135" s="44"/>
      <c r="AS135" s="43"/>
      <c r="AT135" s="37"/>
      <c r="AU135" s="37"/>
      <c r="AV135" s="37"/>
      <c r="AW135" s="37"/>
      <c r="AX135" s="37"/>
      <c r="AY135" s="37"/>
      <c r="AZ135" s="37"/>
      <c r="BA135" s="44"/>
      <c r="BB135" s="42"/>
    </row>
    <row r="136" spans="2:54">
      <c r="B136" s="38"/>
      <c r="C136" s="71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 t="s">
        <v>15</v>
      </c>
      <c r="W136" s="20"/>
      <c r="X136" s="20"/>
      <c r="Y136" s="11"/>
      <c r="Z136" s="1"/>
      <c r="AA136" s="20" t="s">
        <v>90</v>
      </c>
      <c r="AB136" s="20"/>
      <c r="AC136" s="20"/>
      <c r="AD136" s="20"/>
      <c r="AE136" s="37"/>
      <c r="AF136" s="66">
        <f>0.013*$AG$4*$AF$9</f>
        <v>0.17549999999999999</v>
      </c>
      <c r="AG136" s="66"/>
      <c r="AH136" s="66"/>
      <c r="AI136" s="37" t="s">
        <v>162</v>
      </c>
      <c r="AJ136" s="37"/>
      <c r="AK136" s="37"/>
      <c r="AL136" s="37"/>
      <c r="AM136" s="37"/>
      <c r="AN136" s="37"/>
      <c r="AO136" s="37"/>
      <c r="AP136" s="37"/>
      <c r="AQ136" s="37"/>
      <c r="AR136" s="44"/>
      <c r="AS136" s="43"/>
      <c r="AT136" s="37"/>
      <c r="AU136" s="37"/>
      <c r="AV136" s="37"/>
      <c r="AW136" s="37"/>
      <c r="AX136" s="37"/>
      <c r="AY136" s="37"/>
      <c r="AZ136" s="37"/>
      <c r="BA136" s="44"/>
      <c r="BB136" s="42"/>
    </row>
    <row r="137" spans="2:54">
      <c r="B137" s="38"/>
      <c r="C137" s="71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 t="s">
        <v>51</v>
      </c>
      <c r="W137" s="20"/>
      <c r="X137" s="20"/>
      <c r="Y137" s="11"/>
      <c r="Z137" s="1"/>
      <c r="AA137" s="26" t="s">
        <v>91</v>
      </c>
      <c r="AB137" s="20"/>
      <c r="AC137" s="20"/>
      <c r="AD137" s="20"/>
      <c r="AE137" s="37"/>
      <c r="AF137" s="66">
        <f>-0.067*$AG$4*$AF$9</f>
        <v>-0.90450000000000008</v>
      </c>
      <c r="AG137" s="66"/>
      <c r="AH137" s="66"/>
      <c r="AI137" s="37" t="s">
        <v>162</v>
      </c>
      <c r="AJ137" s="37"/>
      <c r="AK137" s="37"/>
      <c r="AL137" s="37"/>
      <c r="AM137" s="37"/>
      <c r="AN137" s="37"/>
      <c r="AO137" s="37"/>
      <c r="AP137" s="37"/>
      <c r="AQ137" s="37"/>
      <c r="AR137" s="44"/>
      <c r="AS137" s="43"/>
      <c r="AT137" s="37"/>
      <c r="AU137" s="37"/>
      <c r="AV137" s="37"/>
      <c r="AW137" s="37"/>
      <c r="AX137" s="37"/>
      <c r="AY137" s="37"/>
      <c r="AZ137" s="37"/>
      <c r="BA137" s="44"/>
      <c r="BB137" s="42"/>
    </row>
    <row r="138" spans="2:54">
      <c r="B138" s="38"/>
      <c r="C138" s="71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12"/>
      <c r="Z138" s="6"/>
      <c r="AA138" s="7"/>
      <c r="AB138" s="7"/>
      <c r="AC138" s="7"/>
      <c r="AD138" s="7"/>
      <c r="AE138" s="48"/>
      <c r="AF138" s="7"/>
      <c r="AG138" s="7"/>
      <c r="AH138" s="7"/>
      <c r="AI138" s="48"/>
      <c r="AJ138" s="48"/>
      <c r="AK138" s="48"/>
      <c r="AL138" s="48"/>
      <c r="AM138" s="48"/>
      <c r="AN138" s="48"/>
      <c r="AO138" s="48"/>
      <c r="AP138" s="48"/>
      <c r="AQ138" s="48"/>
      <c r="AR138" s="49"/>
      <c r="AS138" s="43"/>
      <c r="AT138" s="37"/>
      <c r="AU138" s="37"/>
      <c r="AV138" s="37"/>
      <c r="AW138" s="37"/>
      <c r="AX138" s="37"/>
      <c r="AY138" s="37"/>
      <c r="AZ138" s="37"/>
      <c r="BA138" s="44"/>
      <c r="BB138" s="42"/>
    </row>
    <row r="139" spans="2:54">
      <c r="B139" s="38"/>
      <c r="C139" s="71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11"/>
      <c r="Z139" s="13"/>
      <c r="AA139" s="14"/>
      <c r="AB139" s="14"/>
      <c r="AC139" s="14"/>
      <c r="AD139" s="14"/>
      <c r="AE139" s="40"/>
      <c r="AF139" s="14"/>
      <c r="AG139" s="14"/>
      <c r="AH139" s="14"/>
      <c r="AI139" s="40"/>
      <c r="AJ139" s="40"/>
      <c r="AK139" s="40"/>
      <c r="AL139" s="40"/>
      <c r="AM139" s="40"/>
      <c r="AN139" s="40"/>
      <c r="AO139" s="40"/>
      <c r="AP139" s="40"/>
      <c r="AQ139" s="40"/>
      <c r="AR139" s="41"/>
      <c r="AS139" s="43"/>
      <c r="AT139" s="37"/>
      <c r="AU139" s="37"/>
      <c r="AV139" s="37"/>
      <c r="AW139" s="37"/>
      <c r="AX139" s="37"/>
      <c r="AY139" s="37"/>
      <c r="AZ139" s="37"/>
      <c r="BA139" s="44"/>
      <c r="BB139" s="42"/>
    </row>
    <row r="140" spans="2:54" ht="12" thickBot="1">
      <c r="B140" s="38"/>
      <c r="C140" s="71"/>
      <c r="D140" s="20"/>
      <c r="E140" s="20"/>
      <c r="F140" s="20"/>
      <c r="G140" s="20"/>
      <c r="H140" s="10"/>
      <c r="I140" s="10"/>
      <c r="J140" s="10"/>
      <c r="K140" s="25"/>
      <c r="L140" s="25"/>
      <c r="M140" s="25"/>
      <c r="N140" s="25"/>
      <c r="O140" s="25"/>
      <c r="P140" s="25"/>
      <c r="Q140" s="10"/>
      <c r="R140" s="10"/>
      <c r="S140" s="10"/>
      <c r="T140" s="20"/>
      <c r="U140" s="20"/>
      <c r="V140" s="20" t="s">
        <v>19</v>
      </c>
      <c r="W140" s="20"/>
      <c r="X140" s="20"/>
      <c r="Y140" s="11"/>
      <c r="Z140" s="1"/>
      <c r="AA140" s="26" t="s">
        <v>74</v>
      </c>
      <c r="AB140" s="20"/>
      <c r="AC140" s="20"/>
      <c r="AD140" s="20"/>
      <c r="AE140" s="37"/>
      <c r="AF140" s="66">
        <f>-0.036*$AG$4*$AF$9^2</f>
        <v>-2.1869999999999998</v>
      </c>
      <c r="AG140" s="66"/>
      <c r="AH140" s="66"/>
      <c r="AI140" s="37" t="s">
        <v>161</v>
      </c>
      <c r="AJ140" s="37"/>
      <c r="AK140" s="37"/>
      <c r="AL140" s="37"/>
      <c r="AM140" s="37"/>
      <c r="AN140" s="37"/>
      <c r="AO140" s="37"/>
      <c r="AP140" s="37"/>
      <c r="AQ140" s="37"/>
      <c r="AR140" s="44"/>
      <c r="AS140" s="43"/>
      <c r="AT140" s="37"/>
      <c r="AU140" s="37"/>
      <c r="AV140" s="37"/>
      <c r="AW140" s="37"/>
      <c r="AX140" s="37"/>
      <c r="AY140" s="37"/>
      <c r="AZ140" s="37"/>
      <c r="BA140" s="44"/>
      <c r="BB140" s="42"/>
    </row>
    <row r="141" spans="2:54">
      <c r="B141" s="38"/>
      <c r="C141" s="71"/>
      <c r="D141" s="20"/>
      <c r="E141" s="20"/>
      <c r="F141" s="20"/>
      <c r="G141" s="20"/>
      <c r="H141" s="20"/>
      <c r="I141" s="27">
        <v>1</v>
      </c>
      <c r="J141" s="20"/>
      <c r="K141" s="20"/>
      <c r="L141" s="27">
        <v>2</v>
      </c>
      <c r="M141" s="20"/>
      <c r="N141" s="20"/>
      <c r="O141" s="27">
        <v>3</v>
      </c>
      <c r="P141" s="20"/>
      <c r="Q141" s="20"/>
      <c r="R141" s="27">
        <v>4</v>
      </c>
      <c r="S141" s="20"/>
      <c r="T141" s="20"/>
      <c r="U141" s="20"/>
      <c r="V141" s="20" t="s">
        <v>92</v>
      </c>
      <c r="W141" s="20"/>
      <c r="X141" s="20"/>
      <c r="Y141" s="11"/>
      <c r="Z141" s="1"/>
      <c r="AA141" s="26" t="s">
        <v>61</v>
      </c>
      <c r="AB141" s="20"/>
      <c r="AC141" s="20"/>
      <c r="AD141" s="20"/>
      <c r="AE141" s="37"/>
      <c r="AF141" s="66">
        <f>-0.107*$AG$4*$AF$9^2</f>
        <v>-6.5002500000000003</v>
      </c>
      <c r="AG141" s="66"/>
      <c r="AH141" s="66"/>
      <c r="AI141" s="37" t="s">
        <v>161</v>
      </c>
      <c r="AJ141" s="37"/>
      <c r="AK141" s="37"/>
      <c r="AL141" s="37"/>
      <c r="AM141" s="37"/>
      <c r="AN141" s="37"/>
      <c r="AO141" s="37"/>
      <c r="AP141" s="37"/>
      <c r="AQ141" s="37"/>
      <c r="AR141" s="44"/>
      <c r="AS141" s="43"/>
      <c r="AT141" s="37"/>
      <c r="AU141" s="37"/>
      <c r="AV141" s="37"/>
      <c r="AW141" s="37"/>
      <c r="AX141" s="37"/>
      <c r="AY141" s="37"/>
      <c r="AZ141" s="37"/>
      <c r="BA141" s="44"/>
      <c r="BB141" s="42"/>
    </row>
    <row r="142" spans="2:54">
      <c r="B142" s="38"/>
      <c r="C142" s="71"/>
      <c r="D142" s="20"/>
      <c r="E142" s="20"/>
      <c r="F142" s="20"/>
      <c r="G142" s="67" t="s">
        <v>8</v>
      </c>
      <c r="H142" s="67"/>
      <c r="I142" s="27"/>
      <c r="J142" s="67" t="s">
        <v>10</v>
      </c>
      <c r="K142" s="67"/>
      <c r="L142" s="27"/>
      <c r="M142" s="67" t="s">
        <v>11</v>
      </c>
      <c r="N142" s="67"/>
      <c r="O142" s="27"/>
      <c r="P142" s="67" t="s">
        <v>32</v>
      </c>
      <c r="Q142" s="67"/>
      <c r="R142" s="27"/>
      <c r="S142" s="67" t="s">
        <v>63</v>
      </c>
      <c r="T142" s="67"/>
      <c r="U142" s="20"/>
      <c r="V142" s="20" t="s">
        <v>93</v>
      </c>
      <c r="W142" s="20"/>
      <c r="X142" s="20"/>
      <c r="Y142" s="11"/>
      <c r="Z142" s="1"/>
      <c r="AA142" s="20" t="s">
        <v>65</v>
      </c>
      <c r="AB142" s="20"/>
      <c r="AC142" s="20"/>
      <c r="AD142" s="20"/>
      <c r="AE142" s="37"/>
      <c r="AF142" s="66">
        <f>1.143*$AG$4*$AF$9</f>
        <v>15.430500000000002</v>
      </c>
      <c r="AG142" s="66"/>
      <c r="AH142" s="66"/>
      <c r="AI142" s="37" t="s">
        <v>162</v>
      </c>
      <c r="AJ142" s="37"/>
      <c r="AK142" s="37"/>
      <c r="AL142" s="37"/>
      <c r="AM142" s="37"/>
      <c r="AN142" s="37"/>
      <c r="AO142" s="37"/>
      <c r="AP142" s="37"/>
      <c r="AQ142" s="37"/>
      <c r="AR142" s="44"/>
      <c r="AS142" s="43"/>
      <c r="AT142" s="37"/>
      <c r="AU142" s="37"/>
      <c r="AV142" s="37"/>
      <c r="AW142" s="37"/>
      <c r="AX142" s="37"/>
      <c r="AY142" s="37"/>
      <c r="AZ142" s="37"/>
      <c r="BA142" s="44"/>
      <c r="BB142" s="42"/>
    </row>
    <row r="143" spans="2:54">
      <c r="B143" s="38"/>
      <c r="C143" s="71"/>
      <c r="D143" s="20"/>
      <c r="E143" s="20"/>
      <c r="F143" s="20"/>
      <c r="G143" s="20"/>
      <c r="H143" s="27"/>
      <c r="I143" s="27" t="s">
        <v>14</v>
      </c>
      <c r="J143" s="20"/>
      <c r="K143" s="27"/>
      <c r="L143" s="27" t="s">
        <v>14</v>
      </c>
      <c r="M143" s="20"/>
      <c r="N143" s="27"/>
      <c r="O143" s="27" t="s">
        <v>14</v>
      </c>
      <c r="P143" s="20"/>
      <c r="Q143" s="28"/>
      <c r="R143" s="27" t="str">
        <f>+O143</f>
        <v>L</v>
      </c>
      <c r="S143" s="20"/>
      <c r="T143" s="20"/>
      <c r="U143" s="20"/>
      <c r="V143" s="20" t="s">
        <v>94</v>
      </c>
      <c r="W143" s="20"/>
      <c r="X143" s="20"/>
      <c r="Y143" s="11"/>
      <c r="Z143" s="1"/>
      <c r="AA143" s="26" t="s">
        <v>95</v>
      </c>
      <c r="AB143" s="20"/>
      <c r="AC143" s="20"/>
      <c r="AD143" s="20"/>
      <c r="AE143" s="37"/>
      <c r="AF143" s="66">
        <f>-0.571*$AG$4*$AF$9</f>
        <v>-7.708499999999999</v>
      </c>
      <c r="AG143" s="66"/>
      <c r="AH143" s="66"/>
      <c r="AI143" s="37" t="s">
        <v>162</v>
      </c>
      <c r="AJ143" s="37"/>
      <c r="AK143" s="37"/>
      <c r="AL143" s="37"/>
      <c r="AM143" s="37"/>
      <c r="AN143" s="37"/>
      <c r="AO143" s="37"/>
      <c r="AP143" s="37"/>
      <c r="AQ143" s="37"/>
      <c r="AR143" s="44"/>
      <c r="AS143" s="43"/>
      <c r="AT143" s="37"/>
      <c r="AU143" s="37"/>
      <c r="AV143" s="37"/>
      <c r="AW143" s="37"/>
      <c r="AX143" s="37"/>
      <c r="AY143" s="37"/>
      <c r="AZ143" s="37"/>
      <c r="BA143" s="44"/>
      <c r="BB143" s="42"/>
    </row>
    <row r="144" spans="2:54">
      <c r="B144" s="38"/>
      <c r="C144" s="71"/>
      <c r="D144" s="20"/>
      <c r="E144" s="20"/>
      <c r="F144" s="20"/>
      <c r="G144" s="20"/>
      <c r="H144" s="27"/>
      <c r="I144" s="27"/>
      <c r="J144" s="20"/>
      <c r="K144" s="27"/>
      <c r="L144" s="27"/>
      <c r="M144" s="20"/>
      <c r="N144" s="27"/>
      <c r="O144" s="27"/>
      <c r="P144" s="20"/>
      <c r="Q144" s="28"/>
      <c r="R144" s="27"/>
      <c r="S144" s="20"/>
      <c r="T144" s="20"/>
      <c r="U144" s="20"/>
      <c r="V144" s="19" t="s">
        <v>157</v>
      </c>
      <c r="W144" s="20"/>
      <c r="X144" s="20"/>
      <c r="Y144" s="11"/>
      <c r="Z144" s="1"/>
      <c r="AA144" s="21" t="s">
        <v>192</v>
      </c>
      <c r="AB144" s="20"/>
      <c r="AC144" s="20"/>
      <c r="AD144" s="20"/>
      <c r="AE144" s="37"/>
      <c r="AF144" s="24"/>
      <c r="AG144" s="24"/>
      <c r="AH144" s="24"/>
      <c r="AI144" s="62">
        <f>-0.223*$AG$4*$AF$9^4/($AM$5*1000*$AM$6/100000000*100)</f>
        <v>-6.9136041456653227E-4</v>
      </c>
      <c r="AJ144" s="62"/>
      <c r="AK144" s="62"/>
      <c r="AL144" s="37" t="s">
        <v>160</v>
      </c>
      <c r="AM144" s="56" t="s">
        <v>164</v>
      </c>
      <c r="AN144" s="62">
        <f>+AI144*1000</f>
        <v>-0.6913604145665323</v>
      </c>
      <c r="AO144" s="62"/>
      <c r="AP144" s="62"/>
      <c r="AQ144" s="37" t="s">
        <v>165</v>
      </c>
      <c r="AR144" s="44"/>
      <c r="AS144" s="43"/>
      <c r="AT144" s="37"/>
      <c r="AU144" s="37"/>
      <c r="AV144" s="37"/>
      <c r="AW144" s="37"/>
      <c r="AX144" s="37"/>
      <c r="AY144" s="37"/>
      <c r="AZ144" s="37"/>
      <c r="BA144" s="44"/>
      <c r="BB144" s="42"/>
    </row>
    <row r="145" spans="2:54">
      <c r="B145" s="38"/>
      <c r="C145" s="71"/>
      <c r="D145" s="20"/>
      <c r="E145" s="20"/>
      <c r="F145" s="20"/>
      <c r="G145" s="20"/>
      <c r="H145" s="27"/>
      <c r="I145" s="27"/>
      <c r="J145" s="20"/>
      <c r="K145" s="27"/>
      <c r="L145" s="27"/>
      <c r="M145" s="20"/>
      <c r="N145" s="27"/>
      <c r="O145" s="27"/>
      <c r="P145" s="20"/>
      <c r="Q145" s="28"/>
      <c r="R145" s="27"/>
      <c r="S145" s="20"/>
      <c r="T145" s="20"/>
      <c r="U145" s="20"/>
      <c r="V145" s="19" t="s">
        <v>158</v>
      </c>
      <c r="W145" s="20"/>
      <c r="X145" s="20"/>
      <c r="Y145" s="11"/>
      <c r="Z145" s="1"/>
      <c r="AA145" s="21" t="s">
        <v>193</v>
      </c>
      <c r="AB145" s="20"/>
      <c r="AC145" s="20"/>
      <c r="AD145" s="20"/>
      <c r="AE145" s="37"/>
      <c r="AF145" s="24"/>
      <c r="AG145" s="24"/>
      <c r="AH145" s="24"/>
      <c r="AI145" s="62">
        <f>0.409*$AG$4*$AF$9^4/($AM$5*1000*$AM$6/100000000*100)</f>
        <v>1.2680108051915321E-3</v>
      </c>
      <c r="AJ145" s="62"/>
      <c r="AK145" s="62"/>
      <c r="AL145" s="37" t="s">
        <v>160</v>
      </c>
      <c r="AM145" s="56" t="s">
        <v>164</v>
      </c>
      <c r="AN145" s="62">
        <f>+AI145*1000</f>
        <v>1.2680108051915322</v>
      </c>
      <c r="AO145" s="62"/>
      <c r="AP145" s="62"/>
      <c r="AQ145" s="37" t="s">
        <v>165</v>
      </c>
      <c r="AR145" s="44"/>
      <c r="AS145" s="43"/>
      <c r="AT145" s="37"/>
      <c r="AU145" s="37"/>
      <c r="AV145" s="37"/>
      <c r="AW145" s="37"/>
      <c r="AX145" s="37"/>
      <c r="AY145" s="37"/>
      <c r="AZ145" s="37"/>
      <c r="BA145" s="44"/>
      <c r="BB145" s="42"/>
    </row>
    <row r="146" spans="2:54">
      <c r="B146" s="38"/>
      <c r="C146" s="71"/>
      <c r="D146" s="20"/>
      <c r="E146" s="20"/>
      <c r="F146" s="20"/>
      <c r="G146" s="20"/>
      <c r="H146" s="27"/>
      <c r="I146" s="27"/>
      <c r="J146" s="20"/>
      <c r="K146" s="27"/>
      <c r="L146" s="27"/>
      <c r="M146" s="20"/>
      <c r="N146" s="27"/>
      <c r="O146" s="27"/>
      <c r="P146" s="20"/>
      <c r="Q146" s="28"/>
      <c r="R146" s="27"/>
      <c r="S146" s="20"/>
      <c r="T146" s="20"/>
      <c r="U146" s="20"/>
      <c r="V146" s="19" t="s">
        <v>166</v>
      </c>
      <c r="W146" s="20"/>
      <c r="X146" s="20"/>
      <c r="Y146" s="11"/>
      <c r="Z146" s="1"/>
      <c r="AA146" s="21" t="s">
        <v>195</v>
      </c>
      <c r="AB146" s="20"/>
      <c r="AC146" s="20"/>
      <c r="AD146" s="20"/>
      <c r="AE146" s="37"/>
      <c r="AF146" s="24"/>
      <c r="AG146" s="24"/>
      <c r="AH146" s="24"/>
      <c r="AI146" s="62">
        <f>0.409*$AG$4*$AF$9^4/($AM$5*1000*$AM$6/100000000*100)</f>
        <v>1.2680108051915321E-3</v>
      </c>
      <c r="AJ146" s="62"/>
      <c r="AK146" s="62"/>
      <c r="AL146" s="37" t="s">
        <v>160</v>
      </c>
      <c r="AM146" s="56" t="s">
        <v>164</v>
      </c>
      <c r="AN146" s="62">
        <f>+AI146*1000</f>
        <v>1.2680108051915322</v>
      </c>
      <c r="AO146" s="62"/>
      <c r="AP146" s="62"/>
      <c r="AQ146" s="37" t="s">
        <v>165</v>
      </c>
      <c r="AR146" s="44"/>
      <c r="AS146" s="43"/>
      <c r="AT146" s="37"/>
      <c r="AU146" s="37"/>
      <c r="AV146" s="37"/>
      <c r="AW146" s="37"/>
      <c r="AX146" s="37"/>
      <c r="AY146" s="37"/>
      <c r="AZ146" s="37"/>
      <c r="BA146" s="44"/>
      <c r="BB146" s="42"/>
    </row>
    <row r="147" spans="2:54">
      <c r="B147" s="38"/>
      <c r="C147" s="71"/>
      <c r="D147" s="20"/>
      <c r="E147" s="20"/>
      <c r="F147" s="20"/>
      <c r="G147" s="20"/>
      <c r="H147" s="27"/>
      <c r="I147" s="27"/>
      <c r="J147" s="20"/>
      <c r="K147" s="27"/>
      <c r="L147" s="27"/>
      <c r="M147" s="20"/>
      <c r="N147" s="27"/>
      <c r="O147" s="27"/>
      <c r="P147" s="20"/>
      <c r="Q147" s="28"/>
      <c r="R147" s="27"/>
      <c r="S147" s="20"/>
      <c r="T147" s="20"/>
      <c r="U147" s="20"/>
      <c r="V147" s="19" t="s">
        <v>180</v>
      </c>
      <c r="W147" s="20"/>
      <c r="X147" s="20"/>
      <c r="Y147" s="11"/>
      <c r="Z147" s="1"/>
      <c r="AA147" s="21" t="s">
        <v>194</v>
      </c>
      <c r="AB147" s="20"/>
      <c r="AC147" s="20"/>
      <c r="AD147" s="20"/>
      <c r="AE147" s="37"/>
      <c r="AF147" s="24"/>
      <c r="AG147" s="24"/>
      <c r="AH147" s="24"/>
      <c r="AI147" s="62">
        <f>-0.223*$AG$4*$AF$9^4/($AM$5*1000*$AM$6/100000000*100)</f>
        <v>-6.9136041456653227E-4</v>
      </c>
      <c r="AJ147" s="62"/>
      <c r="AK147" s="62"/>
      <c r="AL147" s="37" t="s">
        <v>160</v>
      </c>
      <c r="AM147" s="56" t="s">
        <v>164</v>
      </c>
      <c r="AN147" s="62">
        <f>+AI147*1000</f>
        <v>-0.6913604145665323</v>
      </c>
      <c r="AO147" s="62"/>
      <c r="AP147" s="62"/>
      <c r="AQ147" s="37" t="s">
        <v>165</v>
      </c>
      <c r="AR147" s="44"/>
      <c r="AS147" s="43"/>
      <c r="AT147" s="37"/>
      <c r="AU147" s="37"/>
      <c r="AV147" s="37"/>
      <c r="AW147" s="37"/>
      <c r="AX147" s="37"/>
      <c r="AY147" s="37"/>
      <c r="AZ147" s="37"/>
      <c r="BA147" s="44"/>
      <c r="BB147" s="42"/>
    </row>
    <row r="148" spans="2:54">
      <c r="B148" s="38"/>
      <c r="C148" s="71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11"/>
      <c r="Z148" s="6"/>
      <c r="AA148" s="7"/>
      <c r="AB148" s="7"/>
      <c r="AC148" s="7"/>
      <c r="AD148" s="7"/>
      <c r="AE148" s="48"/>
      <c r="AF148" s="7"/>
      <c r="AG148" s="7"/>
      <c r="AH148" s="7"/>
      <c r="AI148" s="48"/>
      <c r="AJ148" s="48"/>
      <c r="AK148" s="48"/>
      <c r="AL148" s="48"/>
      <c r="AM148" s="48"/>
      <c r="AN148" s="48"/>
      <c r="AO148" s="48"/>
      <c r="AP148" s="48"/>
      <c r="AQ148" s="48"/>
      <c r="AR148" s="49"/>
      <c r="AS148" s="43"/>
      <c r="AT148" s="37"/>
      <c r="AU148" s="37"/>
      <c r="AV148" s="37"/>
      <c r="AW148" s="37"/>
      <c r="AX148" s="37"/>
      <c r="AY148" s="37"/>
      <c r="AZ148" s="37"/>
      <c r="BA148" s="44"/>
      <c r="BB148" s="42"/>
    </row>
    <row r="149" spans="2:54">
      <c r="B149" s="38"/>
      <c r="C149" s="71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9"/>
      <c r="Z149" s="13"/>
      <c r="AA149" s="14"/>
      <c r="AB149" s="14"/>
      <c r="AC149" s="14"/>
      <c r="AD149" s="14"/>
      <c r="AE149" s="40"/>
      <c r="AF149" s="14"/>
      <c r="AG149" s="14"/>
      <c r="AH149" s="14"/>
      <c r="AI149" s="40"/>
      <c r="AJ149" s="40"/>
      <c r="AK149" s="40"/>
      <c r="AL149" s="40"/>
      <c r="AM149" s="40"/>
      <c r="AN149" s="40"/>
      <c r="AO149" s="40"/>
      <c r="AP149" s="40"/>
      <c r="AQ149" s="40"/>
      <c r="AR149" s="41"/>
      <c r="AS149" s="43"/>
      <c r="AT149" s="37"/>
      <c r="AU149" s="37"/>
      <c r="AV149" s="37"/>
      <c r="AW149" s="37"/>
      <c r="AX149" s="37"/>
      <c r="AY149" s="37"/>
      <c r="AZ149" s="37"/>
      <c r="BA149" s="44"/>
      <c r="BB149" s="42"/>
    </row>
    <row r="150" spans="2:54" ht="12" thickBot="1">
      <c r="B150" s="38"/>
      <c r="C150" s="71"/>
      <c r="D150" s="20"/>
      <c r="E150" s="20"/>
      <c r="F150" s="20"/>
      <c r="G150" s="20"/>
      <c r="H150" s="25"/>
      <c r="I150" s="25"/>
      <c r="J150" s="33"/>
      <c r="K150" s="10"/>
      <c r="L150" s="10"/>
      <c r="M150" s="10"/>
      <c r="N150" s="10"/>
      <c r="O150" s="10"/>
      <c r="P150" s="10"/>
      <c r="Q150" s="16"/>
      <c r="R150" s="16"/>
      <c r="S150" s="16"/>
      <c r="T150" s="20"/>
      <c r="U150" s="20"/>
      <c r="V150" s="20" t="s">
        <v>19</v>
      </c>
      <c r="W150" s="20"/>
      <c r="X150" s="20"/>
      <c r="Y150" s="11"/>
      <c r="Z150" s="1"/>
      <c r="AA150" s="26" t="s">
        <v>62</v>
      </c>
      <c r="AB150" s="20"/>
      <c r="AC150" s="20"/>
      <c r="AD150" s="20"/>
      <c r="AE150" s="37"/>
      <c r="AF150" s="66">
        <f>-0.071*$AG$4*$AF$9^2</f>
        <v>-4.3132499999999991</v>
      </c>
      <c r="AG150" s="66"/>
      <c r="AH150" s="66"/>
      <c r="AI150" s="37" t="s">
        <v>161</v>
      </c>
      <c r="AJ150" s="37"/>
      <c r="AK150" s="37"/>
      <c r="AL150" s="37"/>
      <c r="AM150" s="37"/>
      <c r="AN150" s="37"/>
      <c r="AO150" s="37"/>
      <c r="AP150" s="37"/>
      <c r="AQ150" s="37"/>
      <c r="AR150" s="44"/>
      <c r="AS150" s="43"/>
      <c r="AT150" s="37"/>
      <c r="AU150" s="37"/>
      <c r="AV150" s="37"/>
      <c r="AW150" s="37"/>
      <c r="AX150" s="37"/>
      <c r="AY150" s="37"/>
      <c r="AZ150" s="37"/>
      <c r="BA150" s="44"/>
      <c r="BB150" s="42"/>
    </row>
    <row r="151" spans="2:54">
      <c r="B151" s="38"/>
      <c r="C151" s="71"/>
      <c r="D151" s="20"/>
      <c r="E151" s="20"/>
      <c r="F151" s="20"/>
      <c r="G151" s="20"/>
      <c r="H151" s="20"/>
      <c r="I151" s="27">
        <v>1</v>
      </c>
      <c r="J151" s="20"/>
      <c r="K151" s="20"/>
      <c r="L151" s="27">
        <v>2</v>
      </c>
      <c r="M151" s="20"/>
      <c r="N151" s="20"/>
      <c r="O151" s="27">
        <v>3</v>
      </c>
      <c r="P151" s="20"/>
      <c r="Q151" s="20"/>
      <c r="R151" s="27">
        <v>4</v>
      </c>
      <c r="S151" s="20"/>
      <c r="T151" s="20"/>
      <c r="U151" s="20"/>
      <c r="V151" s="20" t="s">
        <v>96</v>
      </c>
      <c r="W151" s="20"/>
      <c r="X151" s="20"/>
      <c r="Y151" s="11"/>
      <c r="Z151" s="1"/>
      <c r="AA151" s="20" t="s">
        <v>60</v>
      </c>
      <c r="AB151" s="20"/>
      <c r="AC151" s="20"/>
      <c r="AD151" s="20"/>
      <c r="AE151" s="37"/>
      <c r="AF151" s="66">
        <f>0.036*$AG$4*$AF$9^2</f>
        <v>2.1869999999999998</v>
      </c>
      <c r="AG151" s="66"/>
      <c r="AH151" s="66"/>
      <c r="AI151" s="37" t="s">
        <v>161</v>
      </c>
      <c r="AJ151" s="37"/>
      <c r="AK151" s="37"/>
      <c r="AL151" s="37"/>
      <c r="AM151" s="37"/>
      <c r="AN151" s="37"/>
      <c r="AO151" s="37"/>
      <c r="AP151" s="37"/>
      <c r="AQ151" s="37"/>
      <c r="AR151" s="44"/>
      <c r="AS151" s="43"/>
      <c r="AT151" s="37"/>
      <c r="AU151" s="37"/>
      <c r="AV151" s="37"/>
      <c r="AW151" s="37"/>
      <c r="AX151" s="37"/>
      <c r="AY151" s="37"/>
      <c r="AZ151" s="37"/>
      <c r="BA151" s="44"/>
      <c r="BB151" s="42"/>
    </row>
    <row r="152" spans="2:54">
      <c r="B152" s="38"/>
      <c r="C152" s="71"/>
      <c r="D152" s="20"/>
      <c r="E152" s="20"/>
      <c r="F152" s="20"/>
      <c r="G152" s="67" t="s">
        <v>8</v>
      </c>
      <c r="H152" s="67"/>
      <c r="I152" s="27"/>
      <c r="J152" s="67" t="s">
        <v>10</v>
      </c>
      <c r="K152" s="67"/>
      <c r="L152" s="27"/>
      <c r="M152" s="67" t="s">
        <v>11</v>
      </c>
      <c r="N152" s="67"/>
      <c r="O152" s="27"/>
      <c r="P152" s="67" t="s">
        <v>32</v>
      </c>
      <c r="Q152" s="67"/>
      <c r="R152" s="27"/>
      <c r="S152" s="67" t="s">
        <v>63</v>
      </c>
      <c r="T152" s="67"/>
      <c r="U152" s="20"/>
      <c r="V152" s="20" t="s">
        <v>97</v>
      </c>
      <c r="W152" s="20"/>
      <c r="X152" s="20"/>
      <c r="Y152" s="11"/>
      <c r="Z152" s="1"/>
      <c r="AA152" s="26" t="s">
        <v>98</v>
      </c>
      <c r="AB152" s="20"/>
      <c r="AC152" s="20"/>
      <c r="AD152" s="20"/>
      <c r="AE152" s="37"/>
      <c r="AF152" s="66">
        <f>-0.214*$AG$4*$AF$9</f>
        <v>-2.8890000000000002</v>
      </c>
      <c r="AG152" s="66"/>
      <c r="AH152" s="66"/>
      <c r="AI152" s="37" t="s">
        <v>162</v>
      </c>
      <c r="AJ152" s="37"/>
      <c r="AK152" s="37"/>
      <c r="AL152" s="37"/>
      <c r="AM152" s="37"/>
      <c r="AN152" s="37"/>
      <c r="AO152" s="37"/>
      <c r="AP152" s="37"/>
      <c r="AQ152" s="37"/>
      <c r="AR152" s="44"/>
      <c r="AS152" s="43"/>
      <c r="AT152" s="37"/>
      <c r="AU152" s="37"/>
      <c r="AV152" s="37"/>
      <c r="AW152" s="37"/>
      <c r="AX152" s="37"/>
      <c r="AY152" s="37"/>
      <c r="AZ152" s="37"/>
      <c r="BA152" s="44"/>
      <c r="BB152" s="42"/>
    </row>
    <row r="153" spans="2:54">
      <c r="B153" s="38"/>
      <c r="C153" s="71"/>
      <c r="D153" s="20"/>
      <c r="E153" s="20"/>
      <c r="F153" s="20"/>
      <c r="G153" s="20"/>
      <c r="H153" s="27"/>
      <c r="I153" s="27" t="s">
        <v>14</v>
      </c>
      <c r="J153" s="20"/>
      <c r="K153" s="27"/>
      <c r="L153" s="27" t="s">
        <v>14</v>
      </c>
      <c r="M153" s="20"/>
      <c r="N153" s="27"/>
      <c r="O153" s="27" t="s">
        <v>14</v>
      </c>
      <c r="P153" s="20"/>
      <c r="Q153" s="28"/>
      <c r="R153" s="27" t="str">
        <f>+O153</f>
        <v>L</v>
      </c>
      <c r="S153" s="20"/>
      <c r="T153" s="20"/>
      <c r="U153" s="20"/>
      <c r="V153" s="20" t="s">
        <v>94</v>
      </c>
      <c r="W153" s="20"/>
      <c r="X153" s="20"/>
      <c r="Y153" s="11"/>
      <c r="Z153" s="1"/>
      <c r="AA153" s="20" t="s">
        <v>99</v>
      </c>
      <c r="AB153" s="20"/>
      <c r="AC153" s="20"/>
      <c r="AD153" s="20"/>
      <c r="AE153" s="37"/>
      <c r="AF153" s="66">
        <f>0.107*$AG$4*$AF$9</f>
        <v>1.4445000000000001</v>
      </c>
      <c r="AG153" s="66"/>
      <c r="AH153" s="66"/>
      <c r="AI153" s="37" t="s">
        <v>162</v>
      </c>
      <c r="AJ153" s="37"/>
      <c r="AK153" s="37"/>
      <c r="AL153" s="37"/>
      <c r="AM153" s="37"/>
      <c r="AN153" s="37"/>
      <c r="AO153" s="37"/>
      <c r="AP153" s="37"/>
      <c r="AQ153" s="37"/>
      <c r="AR153" s="44"/>
      <c r="AS153" s="43"/>
      <c r="AT153" s="37"/>
      <c r="AU153" s="37"/>
      <c r="AV153" s="37"/>
      <c r="AW153" s="37"/>
      <c r="AX153" s="37"/>
      <c r="AY153" s="37"/>
      <c r="AZ153" s="37"/>
      <c r="BA153" s="44"/>
      <c r="BB153" s="42"/>
    </row>
    <row r="154" spans="2:54" ht="12" thickBot="1">
      <c r="B154" s="38"/>
      <c r="C154" s="7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32"/>
      <c r="Z154" s="30"/>
      <c r="AA154" s="10"/>
      <c r="AB154" s="10"/>
      <c r="AC154" s="10"/>
      <c r="AD154" s="10"/>
      <c r="AE154" s="50"/>
      <c r="AF154" s="10"/>
      <c r="AG154" s="10"/>
      <c r="AH154" s="1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1"/>
      <c r="AS154" s="59"/>
      <c r="AT154" s="50"/>
      <c r="AU154" s="50"/>
      <c r="AV154" s="50"/>
      <c r="AW154" s="50"/>
      <c r="AX154" s="50"/>
      <c r="AY154" s="50"/>
      <c r="AZ154" s="50"/>
      <c r="BA154" s="51"/>
      <c r="BB154" s="42"/>
    </row>
    <row r="155" spans="2:54">
      <c r="B155" s="38"/>
      <c r="C155" s="75" t="s">
        <v>100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1"/>
      <c r="AA155" s="3"/>
      <c r="AB155" s="3"/>
      <c r="AC155" s="3"/>
      <c r="AD155" s="3"/>
      <c r="AE155" s="52"/>
      <c r="AF155" s="3"/>
      <c r="AG155" s="3"/>
      <c r="AH155" s="3"/>
      <c r="AI155" s="52"/>
      <c r="AJ155" s="52"/>
      <c r="AK155" s="52"/>
      <c r="AL155" s="52"/>
      <c r="AM155" s="52"/>
      <c r="AN155" s="52"/>
      <c r="AO155" s="52"/>
      <c r="AP155" s="52"/>
      <c r="AQ155" s="52"/>
      <c r="AR155" s="53"/>
      <c r="AS155" s="58"/>
      <c r="AT155" s="52"/>
      <c r="AU155" s="52"/>
      <c r="AV155" s="52"/>
      <c r="AW155" s="52"/>
      <c r="AX155" s="52"/>
      <c r="AY155" s="52"/>
      <c r="AZ155" s="52"/>
      <c r="BA155" s="53"/>
      <c r="BB155" s="42"/>
    </row>
    <row r="156" spans="2:54">
      <c r="B156" s="38"/>
      <c r="C156" s="71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 t="s">
        <v>4</v>
      </c>
      <c r="W156" s="20"/>
      <c r="X156" s="20"/>
      <c r="Y156" s="20"/>
      <c r="Z156" s="1"/>
      <c r="AA156" s="20" t="s">
        <v>101</v>
      </c>
      <c r="AB156" s="20"/>
      <c r="AC156" s="20"/>
      <c r="AD156" s="20"/>
      <c r="AE156" s="37"/>
      <c r="AF156" s="66">
        <f>0.078*$AG$4*$AF$9^2</f>
        <v>4.7385000000000002</v>
      </c>
      <c r="AG156" s="66"/>
      <c r="AH156" s="66"/>
      <c r="AI156" s="37" t="s">
        <v>161</v>
      </c>
      <c r="AJ156" s="37"/>
      <c r="AK156" s="37"/>
      <c r="AL156" s="37"/>
      <c r="AM156" s="37"/>
      <c r="AN156" s="37"/>
      <c r="AO156" s="37"/>
      <c r="AP156" s="37"/>
      <c r="AQ156" s="37"/>
      <c r="AR156" s="44"/>
      <c r="AS156" s="43"/>
      <c r="AT156" s="37"/>
      <c r="AU156" s="37"/>
      <c r="AV156" s="37"/>
      <c r="AW156" s="37"/>
      <c r="AX156" s="37"/>
      <c r="AY156" s="37"/>
      <c r="AZ156" s="37"/>
      <c r="BA156" s="44"/>
      <c r="BB156" s="42"/>
    </row>
    <row r="157" spans="2:54">
      <c r="B157" s="38"/>
      <c r="C157" s="71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 t="s">
        <v>29</v>
      </c>
      <c r="W157" s="20"/>
      <c r="X157" s="20"/>
      <c r="Y157" s="20"/>
      <c r="Z157" s="1"/>
      <c r="AA157" s="20" t="s">
        <v>102</v>
      </c>
      <c r="AB157" s="20"/>
      <c r="AC157" s="20"/>
      <c r="AD157" s="20"/>
      <c r="AE157" s="37"/>
      <c r="AF157" s="66">
        <f>0.033*$AG$4*$AF$9^2</f>
        <v>2.00475</v>
      </c>
      <c r="AG157" s="66"/>
      <c r="AH157" s="66"/>
      <c r="AI157" s="37" t="s">
        <v>161</v>
      </c>
      <c r="AJ157" s="37"/>
      <c r="AK157" s="37"/>
      <c r="AL157" s="37"/>
      <c r="AM157" s="37"/>
      <c r="AN157" s="37"/>
      <c r="AO157" s="37"/>
      <c r="AP157" s="37"/>
      <c r="AQ157" s="37"/>
      <c r="AR157" s="44"/>
      <c r="AS157" s="43"/>
      <c r="AT157" s="37"/>
      <c r="AU157" s="37"/>
      <c r="AV157" s="37"/>
      <c r="AW157" s="37"/>
      <c r="AX157" s="37"/>
      <c r="AY157" s="37"/>
      <c r="AZ157" s="37"/>
      <c r="BA157" s="44"/>
      <c r="BB157" s="42"/>
    </row>
    <row r="158" spans="2:54">
      <c r="B158" s="38"/>
      <c r="C158" s="71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 t="s">
        <v>103</v>
      </c>
      <c r="W158" s="20"/>
      <c r="X158" s="20"/>
      <c r="Y158" s="20"/>
      <c r="Z158" s="1"/>
      <c r="AA158" s="20" t="s">
        <v>104</v>
      </c>
      <c r="AB158" s="20"/>
      <c r="AC158" s="20"/>
      <c r="AD158" s="20"/>
      <c r="AE158" s="37"/>
      <c r="AF158" s="66">
        <f>0.046*$AG$4*$AF$9^2</f>
        <v>2.7945000000000002</v>
      </c>
      <c r="AG158" s="66"/>
      <c r="AH158" s="66"/>
      <c r="AI158" s="37" t="s">
        <v>161</v>
      </c>
      <c r="AJ158" s="37"/>
      <c r="AK158" s="37"/>
      <c r="AL158" s="37"/>
      <c r="AM158" s="37"/>
      <c r="AN158" s="37"/>
      <c r="AO158" s="37"/>
      <c r="AP158" s="37"/>
      <c r="AQ158" s="37"/>
      <c r="AR158" s="44"/>
      <c r="AS158" s="43"/>
      <c r="AT158" s="37"/>
      <c r="AU158" s="37"/>
      <c r="AV158" s="37"/>
      <c r="AW158" s="37"/>
      <c r="AX158" s="37"/>
      <c r="AY158" s="37"/>
      <c r="AZ158" s="37"/>
      <c r="BA158" s="44"/>
      <c r="BB158" s="42"/>
    </row>
    <row r="159" spans="2:54">
      <c r="B159" s="38"/>
      <c r="C159" s="71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 t="s">
        <v>19</v>
      </c>
      <c r="W159" s="20"/>
      <c r="X159" s="20"/>
      <c r="Y159" s="20"/>
      <c r="Z159" s="1"/>
      <c r="AA159" s="26" t="s">
        <v>105</v>
      </c>
      <c r="AB159" s="20"/>
      <c r="AC159" s="20"/>
      <c r="AD159" s="20"/>
      <c r="AE159" s="37"/>
      <c r="AF159" s="66">
        <f>-0.105*$AG$4*$AF$9^2</f>
        <v>-6.3787500000000001</v>
      </c>
      <c r="AG159" s="66"/>
      <c r="AH159" s="66"/>
      <c r="AI159" s="37" t="s">
        <v>161</v>
      </c>
      <c r="AJ159" s="37"/>
      <c r="AK159" s="37"/>
      <c r="AL159" s="37"/>
      <c r="AM159" s="37"/>
      <c r="AN159" s="37"/>
      <c r="AO159" s="37"/>
      <c r="AP159" s="37"/>
      <c r="AQ159" s="37"/>
      <c r="AR159" s="44"/>
      <c r="AS159" s="43"/>
      <c r="AT159" s="37"/>
      <c r="AU159" s="37"/>
      <c r="AV159" s="37"/>
      <c r="AW159" s="37"/>
      <c r="AX159" s="37"/>
      <c r="AY159" s="37"/>
      <c r="AZ159" s="37"/>
      <c r="BA159" s="44"/>
      <c r="BB159" s="42"/>
    </row>
    <row r="160" spans="2:54" ht="12" thickBot="1">
      <c r="B160" s="38"/>
      <c r="C160" s="71"/>
      <c r="D160" s="20"/>
      <c r="E160" s="25"/>
      <c r="F160" s="25"/>
      <c r="G160" s="33"/>
      <c r="H160" s="25"/>
      <c r="I160" s="25"/>
      <c r="J160" s="33"/>
      <c r="K160" s="25"/>
      <c r="L160" s="25"/>
      <c r="M160" s="25"/>
      <c r="N160" s="25"/>
      <c r="O160" s="25"/>
      <c r="P160" s="25"/>
      <c r="Q160" s="16"/>
      <c r="R160" s="16"/>
      <c r="S160" s="16"/>
      <c r="T160" s="20"/>
      <c r="U160" s="20"/>
      <c r="V160" s="20" t="s">
        <v>47</v>
      </c>
      <c r="W160" s="20"/>
      <c r="X160" s="20"/>
      <c r="Y160" s="20"/>
      <c r="Z160" s="1"/>
      <c r="AA160" s="26" t="s">
        <v>106</v>
      </c>
      <c r="AB160" s="20"/>
      <c r="AC160" s="20"/>
      <c r="AD160" s="20"/>
      <c r="AE160" s="37"/>
      <c r="AF160" s="66">
        <f>-0.079*$AG$4*$AF$9^2</f>
        <v>-4.7992499999999998</v>
      </c>
      <c r="AG160" s="66"/>
      <c r="AH160" s="66"/>
      <c r="AI160" s="37" t="s">
        <v>161</v>
      </c>
      <c r="AJ160" s="37"/>
      <c r="AK160" s="37"/>
      <c r="AL160" s="37"/>
      <c r="AM160" s="37"/>
      <c r="AN160" s="37"/>
      <c r="AO160" s="37"/>
      <c r="AP160" s="37"/>
      <c r="AQ160" s="37"/>
      <c r="AR160" s="44"/>
      <c r="AS160" s="43"/>
      <c r="AT160" s="37"/>
      <c r="AU160" s="37"/>
      <c r="AV160" s="37"/>
      <c r="AW160" s="37"/>
      <c r="AX160" s="37"/>
      <c r="AY160" s="37"/>
      <c r="AZ160" s="37"/>
      <c r="BA160" s="44"/>
      <c r="BB160" s="42"/>
    </row>
    <row r="161" spans="2:54">
      <c r="B161" s="38"/>
      <c r="C161" s="71"/>
      <c r="D161" s="20"/>
      <c r="E161" s="20"/>
      <c r="F161" s="27">
        <v>1</v>
      </c>
      <c r="G161" s="20"/>
      <c r="H161" s="20"/>
      <c r="I161" s="27">
        <v>2</v>
      </c>
      <c r="J161" s="20"/>
      <c r="K161" s="20"/>
      <c r="L161" s="27">
        <v>3</v>
      </c>
      <c r="M161" s="20"/>
      <c r="N161" s="20"/>
      <c r="O161" s="27">
        <v>4</v>
      </c>
      <c r="P161" s="20"/>
      <c r="Q161" s="20"/>
      <c r="R161" s="27">
        <v>5</v>
      </c>
      <c r="S161" s="20"/>
      <c r="T161" s="20"/>
      <c r="U161" s="20"/>
      <c r="V161" s="20" t="s">
        <v>8</v>
      </c>
      <c r="W161" s="20"/>
      <c r="X161" s="20"/>
      <c r="Y161" s="20"/>
      <c r="Z161" s="1"/>
      <c r="AA161" s="20" t="s">
        <v>107</v>
      </c>
      <c r="AB161" s="20"/>
      <c r="AC161" s="20"/>
      <c r="AD161" s="20"/>
      <c r="AE161" s="37"/>
      <c r="AF161" s="66">
        <f>0.395*$AG$4*$AF$9</f>
        <v>5.3325000000000005</v>
      </c>
      <c r="AG161" s="66"/>
      <c r="AH161" s="66"/>
      <c r="AI161" s="37" t="s">
        <v>162</v>
      </c>
      <c r="AJ161" s="37"/>
      <c r="AK161" s="37"/>
      <c r="AL161" s="37"/>
      <c r="AM161" s="37"/>
      <c r="AN161" s="37"/>
      <c r="AO161" s="37"/>
      <c r="AP161" s="37"/>
      <c r="AQ161" s="37"/>
      <c r="AR161" s="44"/>
      <c r="AS161" s="43"/>
      <c r="AT161" s="37"/>
      <c r="AU161" s="37"/>
      <c r="AV161" s="37"/>
      <c r="AW161" s="37"/>
      <c r="AX161" s="37"/>
      <c r="AY161" s="37"/>
      <c r="AZ161" s="37"/>
      <c r="BA161" s="44"/>
      <c r="BB161" s="42"/>
    </row>
    <row r="162" spans="2:54">
      <c r="B162" s="38"/>
      <c r="C162" s="71"/>
      <c r="D162" s="67" t="s">
        <v>8</v>
      </c>
      <c r="E162" s="67"/>
      <c r="F162" s="27"/>
      <c r="G162" s="67" t="s">
        <v>10</v>
      </c>
      <c r="H162" s="67"/>
      <c r="I162" s="27"/>
      <c r="J162" s="67" t="s">
        <v>11</v>
      </c>
      <c r="K162" s="67"/>
      <c r="L162" s="27"/>
      <c r="M162" s="67" t="s">
        <v>32</v>
      </c>
      <c r="N162" s="67"/>
      <c r="O162" s="27"/>
      <c r="P162" s="67" t="s">
        <v>63</v>
      </c>
      <c r="Q162" s="67"/>
      <c r="R162" s="27"/>
      <c r="S162" s="67" t="s">
        <v>108</v>
      </c>
      <c r="T162" s="67"/>
      <c r="U162" s="20"/>
      <c r="V162" s="20" t="s">
        <v>10</v>
      </c>
      <c r="W162" s="20"/>
      <c r="X162" s="20"/>
      <c r="Y162" s="20"/>
      <c r="Z162" s="1"/>
      <c r="AA162" s="20" t="s">
        <v>109</v>
      </c>
      <c r="AB162" s="20"/>
      <c r="AC162" s="20"/>
      <c r="AD162" s="20"/>
      <c r="AE162" s="37"/>
      <c r="AF162" s="66">
        <f>1.132*$AG$4*$AF$9</f>
        <v>15.282</v>
      </c>
      <c r="AG162" s="66"/>
      <c r="AH162" s="66"/>
      <c r="AI162" s="37" t="s">
        <v>162</v>
      </c>
      <c r="AJ162" s="37"/>
      <c r="AK162" s="37"/>
      <c r="AL162" s="37"/>
      <c r="AM162" s="37"/>
      <c r="AN162" s="37"/>
      <c r="AO162" s="37"/>
      <c r="AP162" s="37"/>
      <c r="AQ162" s="37"/>
      <c r="AR162" s="44"/>
      <c r="AS162" s="43"/>
      <c r="AT162" s="37"/>
      <c r="AU162" s="37"/>
      <c r="AV162" s="37"/>
      <c r="AW162" s="37"/>
      <c r="AX162" s="37"/>
      <c r="AY162" s="37"/>
      <c r="AZ162" s="37"/>
      <c r="BA162" s="44"/>
      <c r="BB162" s="42"/>
    </row>
    <row r="163" spans="2:54">
      <c r="B163" s="38"/>
      <c r="C163" s="71"/>
      <c r="D163" s="20"/>
      <c r="E163" s="27"/>
      <c r="F163" s="27" t="s">
        <v>14</v>
      </c>
      <c r="G163" s="20"/>
      <c r="H163" s="27"/>
      <c r="I163" s="27" t="s">
        <v>14</v>
      </c>
      <c r="J163" s="20"/>
      <c r="K163" s="27"/>
      <c r="L163" s="27" t="s">
        <v>14</v>
      </c>
      <c r="M163" s="20"/>
      <c r="N163" s="27"/>
      <c r="O163" s="27" t="s">
        <v>14</v>
      </c>
      <c r="P163" s="20"/>
      <c r="Q163" s="28"/>
      <c r="R163" s="27" t="str">
        <f>+O163</f>
        <v>L</v>
      </c>
      <c r="S163" s="20"/>
      <c r="T163" s="20"/>
      <c r="U163" s="20"/>
      <c r="V163" s="20" t="s">
        <v>11</v>
      </c>
      <c r="W163" s="20"/>
      <c r="X163" s="20"/>
      <c r="Y163" s="20"/>
      <c r="Z163" s="1"/>
      <c r="AA163" s="20" t="s">
        <v>110</v>
      </c>
      <c r="AB163" s="20"/>
      <c r="AC163" s="20"/>
      <c r="AD163" s="20"/>
      <c r="AE163" s="37"/>
      <c r="AF163" s="66">
        <f>0.974*$AG$4*$AF$9</f>
        <v>13.148999999999999</v>
      </c>
      <c r="AG163" s="66"/>
      <c r="AH163" s="66"/>
      <c r="AI163" s="37" t="s">
        <v>162</v>
      </c>
      <c r="AJ163" s="37"/>
      <c r="AK163" s="37"/>
      <c r="AL163" s="37"/>
      <c r="AM163" s="37"/>
      <c r="AN163" s="37"/>
      <c r="AO163" s="37"/>
      <c r="AP163" s="37"/>
      <c r="AQ163" s="37"/>
      <c r="AR163" s="44"/>
      <c r="AS163" s="43"/>
      <c r="AT163" s="37"/>
      <c r="AU163" s="37"/>
      <c r="AV163" s="37"/>
      <c r="AW163" s="37"/>
      <c r="AX163" s="37"/>
      <c r="AY163" s="37"/>
      <c r="AZ163" s="37"/>
      <c r="BA163" s="44"/>
      <c r="BB163" s="42"/>
    </row>
    <row r="164" spans="2:54">
      <c r="B164" s="38"/>
      <c r="C164" s="71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 t="s">
        <v>111</v>
      </c>
      <c r="W164" s="20"/>
      <c r="X164" s="20"/>
      <c r="Y164" s="20"/>
      <c r="Z164" s="1"/>
      <c r="AA164" s="26" t="s">
        <v>112</v>
      </c>
      <c r="AB164" s="20"/>
      <c r="AC164" s="20"/>
      <c r="AD164" s="20"/>
      <c r="AE164" s="37"/>
      <c r="AF164" s="66">
        <f>-0.605*$AG$4*$AF$9</f>
        <v>-8.1675000000000004</v>
      </c>
      <c r="AG164" s="66"/>
      <c r="AH164" s="66"/>
      <c r="AI164" s="37" t="s">
        <v>162</v>
      </c>
      <c r="AJ164" s="37"/>
      <c r="AK164" s="37"/>
      <c r="AL164" s="37"/>
      <c r="AM164" s="37"/>
      <c r="AN164" s="37"/>
      <c r="AO164" s="37"/>
      <c r="AP164" s="37"/>
      <c r="AQ164" s="37"/>
      <c r="AR164" s="44"/>
      <c r="AS164" s="43"/>
      <c r="AT164" s="37"/>
      <c r="AU164" s="37"/>
      <c r="AV164" s="37"/>
      <c r="AW164" s="37"/>
      <c r="AX164" s="37"/>
      <c r="AY164" s="37"/>
      <c r="AZ164" s="37"/>
      <c r="BA164" s="44"/>
      <c r="BB164" s="42"/>
    </row>
    <row r="165" spans="2:54">
      <c r="B165" s="38"/>
      <c r="C165" s="71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 t="s">
        <v>113</v>
      </c>
      <c r="W165" s="20"/>
      <c r="X165" s="20"/>
      <c r="Y165" s="20"/>
      <c r="Z165" s="1"/>
      <c r="AA165" s="20" t="s">
        <v>114</v>
      </c>
      <c r="AB165" s="20"/>
      <c r="AC165" s="20"/>
      <c r="AD165" s="20"/>
      <c r="AE165" s="37"/>
      <c r="AF165" s="66">
        <f>0.526*$AG$4*$AF$9</f>
        <v>7.101</v>
      </c>
      <c r="AG165" s="66"/>
      <c r="AH165" s="66"/>
      <c r="AI165" s="37" t="s">
        <v>162</v>
      </c>
      <c r="AJ165" s="37"/>
      <c r="AK165" s="37"/>
      <c r="AL165" s="37"/>
      <c r="AM165" s="37"/>
      <c r="AN165" s="37"/>
      <c r="AO165" s="37"/>
      <c r="AP165" s="37"/>
      <c r="AQ165" s="37"/>
      <c r="AR165" s="44"/>
      <c r="AS165" s="43"/>
      <c r="AT165" s="37"/>
      <c r="AU165" s="37"/>
      <c r="AV165" s="37"/>
      <c r="AW165" s="37"/>
      <c r="AX165" s="37"/>
      <c r="AY165" s="37"/>
      <c r="AZ165" s="37"/>
      <c r="BA165" s="44"/>
      <c r="BB165" s="42"/>
    </row>
    <row r="166" spans="2:54">
      <c r="B166" s="38"/>
      <c r="C166" s="71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 t="s">
        <v>115</v>
      </c>
      <c r="W166" s="20"/>
      <c r="X166" s="20"/>
      <c r="Y166" s="20"/>
      <c r="Z166" s="1"/>
      <c r="AA166" s="26" t="s">
        <v>116</v>
      </c>
      <c r="AB166" s="20"/>
      <c r="AC166" s="20"/>
      <c r="AD166" s="20"/>
      <c r="AE166" s="37"/>
      <c r="AF166" s="66">
        <f>-0.474*$AG$4*$AF$9</f>
        <v>-6.399</v>
      </c>
      <c r="AG166" s="66"/>
      <c r="AH166" s="66"/>
      <c r="AI166" s="37" t="s">
        <v>162</v>
      </c>
      <c r="AJ166" s="37"/>
      <c r="AK166" s="37"/>
      <c r="AL166" s="37"/>
      <c r="AM166" s="37"/>
      <c r="AN166" s="37"/>
      <c r="AO166" s="37"/>
      <c r="AP166" s="37"/>
      <c r="AQ166" s="37"/>
      <c r="AR166" s="44"/>
      <c r="AS166" s="43"/>
      <c r="AT166" s="37"/>
      <c r="AU166" s="37"/>
      <c r="AV166" s="37"/>
      <c r="AW166" s="37"/>
      <c r="AX166" s="37"/>
      <c r="AY166" s="37"/>
      <c r="AZ166" s="37"/>
      <c r="BA166" s="44"/>
      <c r="BB166" s="42"/>
    </row>
    <row r="167" spans="2:54">
      <c r="B167" s="38"/>
      <c r="C167" s="71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 t="s">
        <v>117</v>
      </c>
      <c r="W167" s="20"/>
      <c r="X167" s="20"/>
      <c r="Y167" s="20"/>
      <c r="Z167" s="1"/>
      <c r="AA167" s="20" t="s">
        <v>38</v>
      </c>
      <c r="AB167" s="20"/>
      <c r="AC167" s="20"/>
      <c r="AD167" s="20"/>
      <c r="AE167" s="37"/>
      <c r="AF167" s="66">
        <f>0.5*$AG$4*$AF$9</f>
        <v>6.75</v>
      </c>
      <c r="AG167" s="66"/>
      <c r="AH167" s="66"/>
      <c r="AI167" s="37" t="s">
        <v>162</v>
      </c>
      <c r="AJ167" s="37"/>
      <c r="AK167" s="37"/>
      <c r="AL167" s="37"/>
      <c r="AM167" s="37"/>
      <c r="AN167" s="37"/>
      <c r="AO167" s="37"/>
      <c r="AP167" s="37"/>
      <c r="AQ167" s="37"/>
      <c r="AR167" s="44"/>
      <c r="AS167" s="43"/>
      <c r="AT167" s="37"/>
      <c r="AU167" s="37"/>
      <c r="AV167" s="37"/>
      <c r="AW167" s="37"/>
      <c r="AX167" s="37"/>
      <c r="AY167" s="37"/>
      <c r="AZ167" s="37"/>
      <c r="BA167" s="44"/>
      <c r="BB167" s="42"/>
    </row>
    <row r="168" spans="2:54">
      <c r="B168" s="38"/>
      <c r="C168" s="71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19" t="s">
        <v>157</v>
      </c>
      <c r="W168" s="20"/>
      <c r="X168" s="20"/>
      <c r="Y168" s="20"/>
      <c r="Z168" s="1"/>
      <c r="AA168" s="21" t="s">
        <v>197</v>
      </c>
      <c r="AB168" s="20"/>
      <c r="AC168" s="20"/>
      <c r="AD168" s="20"/>
      <c r="AE168" s="37"/>
      <c r="AF168" s="24"/>
      <c r="AG168" s="24"/>
      <c r="AH168" s="24"/>
      <c r="AI168" s="62">
        <f>0.644*$AG$4*$AF$9^4/($AM$5*1000*$AM$6/100000000*100)</f>
        <v>1.9965744707661289E-3</v>
      </c>
      <c r="AJ168" s="62"/>
      <c r="AK168" s="62"/>
      <c r="AL168" s="37" t="s">
        <v>160</v>
      </c>
      <c r="AM168" s="56" t="s">
        <v>164</v>
      </c>
      <c r="AN168" s="62">
        <f>+AI168*1000</f>
        <v>1.9965744707661288</v>
      </c>
      <c r="AO168" s="62"/>
      <c r="AP168" s="62"/>
      <c r="AQ168" s="37" t="s">
        <v>165</v>
      </c>
      <c r="AR168" s="44"/>
      <c r="AS168" s="43"/>
      <c r="AT168" s="37"/>
      <c r="AU168" s="37"/>
      <c r="AV168" s="37"/>
      <c r="AW168" s="37"/>
      <c r="AX168" s="37"/>
      <c r="AY168" s="37"/>
      <c r="AZ168" s="37"/>
      <c r="BA168" s="44"/>
      <c r="BB168" s="42"/>
    </row>
    <row r="169" spans="2:54">
      <c r="B169" s="38"/>
      <c r="C169" s="71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19" t="s">
        <v>158</v>
      </c>
      <c r="W169" s="20"/>
      <c r="X169" s="20"/>
      <c r="Y169" s="20"/>
      <c r="Z169" s="1"/>
      <c r="AA169" s="21" t="s">
        <v>198</v>
      </c>
      <c r="AB169" s="20"/>
      <c r="AC169" s="20"/>
      <c r="AD169" s="20"/>
      <c r="AE169" s="37"/>
      <c r="AF169" s="24"/>
      <c r="AG169" s="24"/>
      <c r="AH169" s="24"/>
      <c r="AI169" s="62">
        <f>0.151*$AG$4*$AF$9^4/($AM$5*1000*$AM$6/100000000*100)</f>
        <v>4.6814090851814513E-4</v>
      </c>
      <c r="AJ169" s="62"/>
      <c r="AK169" s="62"/>
      <c r="AL169" s="37" t="s">
        <v>160</v>
      </c>
      <c r="AM169" s="56" t="s">
        <v>164</v>
      </c>
      <c r="AN169" s="62">
        <f>+AI169*1000</f>
        <v>0.4681409085181451</v>
      </c>
      <c r="AO169" s="62"/>
      <c r="AP169" s="62"/>
      <c r="AQ169" s="37" t="s">
        <v>165</v>
      </c>
      <c r="AR169" s="44"/>
      <c r="AS169" s="43"/>
      <c r="AT169" s="37"/>
      <c r="AU169" s="37"/>
      <c r="AV169" s="37"/>
      <c r="AW169" s="37"/>
      <c r="AX169" s="37"/>
      <c r="AY169" s="37"/>
      <c r="AZ169" s="37"/>
      <c r="BA169" s="44"/>
      <c r="BB169" s="42"/>
    </row>
    <row r="170" spans="2:54">
      <c r="B170" s="38"/>
      <c r="C170" s="71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19" t="s">
        <v>166</v>
      </c>
      <c r="W170" s="20"/>
      <c r="X170" s="20"/>
      <c r="Y170" s="20"/>
      <c r="Z170" s="1"/>
      <c r="AA170" s="21" t="s">
        <v>199</v>
      </c>
      <c r="AB170" s="20"/>
      <c r="AC170" s="20"/>
      <c r="AD170" s="20"/>
      <c r="AE170" s="37"/>
      <c r="AF170" s="24"/>
      <c r="AG170" s="24"/>
      <c r="AH170" s="24"/>
      <c r="AI170" s="62">
        <f>0.315*$AG$4*$AF$9^4/($AM$5*1000*$AM$6/100000000*100)</f>
        <v>9.7658533896169365E-4</v>
      </c>
      <c r="AJ170" s="62"/>
      <c r="AK170" s="62"/>
      <c r="AL170" s="37" t="s">
        <v>160</v>
      </c>
      <c r="AM170" s="56" t="s">
        <v>164</v>
      </c>
      <c r="AN170" s="62">
        <f>+AI170*1000</f>
        <v>0.97658533896169364</v>
      </c>
      <c r="AO170" s="62"/>
      <c r="AP170" s="62"/>
      <c r="AQ170" s="37" t="s">
        <v>165</v>
      </c>
      <c r="AR170" s="44"/>
      <c r="AS170" s="43"/>
      <c r="AT170" s="37"/>
      <c r="AU170" s="37"/>
      <c r="AV170" s="37"/>
      <c r="AW170" s="37"/>
      <c r="AX170" s="37"/>
      <c r="AY170" s="37"/>
      <c r="AZ170" s="37"/>
      <c r="BA170" s="44"/>
      <c r="BB170" s="42"/>
    </row>
    <row r="171" spans="2:54">
      <c r="B171" s="38"/>
      <c r="C171" s="71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19" t="s">
        <v>180</v>
      </c>
      <c r="W171" s="20"/>
      <c r="X171" s="20"/>
      <c r="Y171" s="20"/>
      <c r="Z171" s="1"/>
      <c r="AA171" s="21" t="s">
        <v>198</v>
      </c>
      <c r="AB171" s="20"/>
      <c r="AC171" s="20"/>
      <c r="AD171" s="20"/>
      <c r="AE171" s="37"/>
      <c r="AF171" s="24"/>
      <c r="AG171" s="24"/>
      <c r="AH171" s="24"/>
      <c r="AI171" s="62">
        <f>0.151*$AG$4*$AF$9^4/($AM$5*1000*$AM$6/100000000*100)</f>
        <v>4.6814090851814513E-4</v>
      </c>
      <c r="AJ171" s="62"/>
      <c r="AK171" s="62"/>
      <c r="AL171" s="37" t="s">
        <v>160</v>
      </c>
      <c r="AM171" s="56" t="s">
        <v>164</v>
      </c>
      <c r="AN171" s="62">
        <f>+AI171*1000</f>
        <v>0.4681409085181451</v>
      </c>
      <c r="AO171" s="62"/>
      <c r="AP171" s="62"/>
      <c r="AQ171" s="37" t="s">
        <v>165</v>
      </c>
      <c r="AR171" s="44"/>
      <c r="AS171" s="43"/>
      <c r="AT171" s="37"/>
      <c r="AU171" s="37"/>
      <c r="AV171" s="37"/>
      <c r="AW171" s="37"/>
      <c r="AX171" s="37"/>
      <c r="AY171" s="37"/>
      <c r="AZ171" s="37"/>
      <c r="BA171" s="44"/>
      <c r="BB171" s="42"/>
    </row>
    <row r="172" spans="2:54">
      <c r="B172" s="38"/>
      <c r="C172" s="71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19" t="s">
        <v>196</v>
      </c>
      <c r="W172" s="20"/>
      <c r="X172" s="20"/>
      <c r="Y172" s="20"/>
      <c r="Z172" s="1"/>
      <c r="AA172" s="21" t="s">
        <v>200</v>
      </c>
      <c r="AB172" s="20"/>
      <c r="AC172" s="20"/>
      <c r="AD172" s="20"/>
      <c r="AE172" s="37"/>
      <c r="AF172" s="24"/>
      <c r="AG172" s="24"/>
      <c r="AH172" s="24"/>
      <c r="AI172" s="62">
        <f>0.644*$AG$4*$AF$9^4/($AM$5*1000*$AM$6/100000000*100)</f>
        <v>1.9965744707661289E-3</v>
      </c>
      <c r="AJ172" s="62"/>
      <c r="AK172" s="62"/>
      <c r="AL172" s="37" t="s">
        <v>160</v>
      </c>
      <c r="AM172" s="56" t="s">
        <v>164</v>
      </c>
      <c r="AN172" s="62">
        <f>+AI172*1000</f>
        <v>1.9965744707661288</v>
      </c>
      <c r="AO172" s="62"/>
      <c r="AP172" s="62"/>
      <c r="AQ172" s="37" t="s">
        <v>165</v>
      </c>
      <c r="AR172" s="44"/>
      <c r="AS172" s="43"/>
      <c r="AT172" s="37"/>
      <c r="AU172" s="37"/>
      <c r="AV172" s="37"/>
      <c r="AW172" s="37"/>
      <c r="AX172" s="37"/>
      <c r="AY172" s="37"/>
      <c r="AZ172" s="37"/>
      <c r="BA172" s="44"/>
      <c r="BB172" s="42"/>
    </row>
    <row r="173" spans="2:54">
      <c r="B173" s="38"/>
      <c r="C173" s="71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6"/>
      <c r="AA173" s="7"/>
      <c r="AB173" s="7"/>
      <c r="AC173" s="7"/>
      <c r="AD173" s="7"/>
      <c r="AE173" s="48"/>
      <c r="AF173" s="7"/>
      <c r="AG173" s="7"/>
      <c r="AH173" s="7"/>
      <c r="AI173" s="48"/>
      <c r="AJ173" s="48"/>
      <c r="AK173" s="48"/>
      <c r="AL173" s="48"/>
      <c r="AM173" s="48"/>
      <c r="AN173" s="48"/>
      <c r="AO173" s="48"/>
      <c r="AP173" s="48"/>
      <c r="AQ173" s="48"/>
      <c r="AR173" s="49"/>
      <c r="AS173" s="43"/>
      <c r="AT173" s="37"/>
      <c r="AU173" s="37"/>
      <c r="AV173" s="37"/>
      <c r="AW173" s="37"/>
      <c r="AX173" s="37"/>
      <c r="AY173" s="37"/>
      <c r="AZ173" s="37"/>
      <c r="BA173" s="44"/>
      <c r="BB173" s="42"/>
    </row>
    <row r="174" spans="2:54">
      <c r="B174" s="38"/>
      <c r="C174" s="71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3"/>
      <c r="AA174" s="14"/>
      <c r="AB174" s="14"/>
      <c r="AC174" s="14"/>
      <c r="AD174" s="14"/>
      <c r="AE174" s="40"/>
      <c r="AF174" s="14"/>
      <c r="AG174" s="14"/>
      <c r="AH174" s="14"/>
      <c r="AI174" s="40"/>
      <c r="AJ174" s="40"/>
      <c r="AK174" s="40"/>
      <c r="AL174" s="40"/>
      <c r="AM174" s="40"/>
      <c r="AN174" s="40"/>
      <c r="AO174" s="40"/>
      <c r="AP174" s="40"/>
      <c r="AQ174" s="40"/>
      <c r="AR174" s="41"/>
      <c r="AS174" s="43"/>
      <c r="AT174" s="37"/>
      <c r="AU174" s="37"/>
      <c r="AV174" s="37"/>
      <c r="AW174" s="37"/>
      <c r="AX174" s="37"/>
      <c r="AY174" s="37"/>
      <c r="AZ174" s="37"/>
      <c r="BA174" s="44"/>
      <c r="BB174" s="42"/>
    </row>
    <row r="175" spans="2:54" ht="12" thickBot="1">
      <c r="B175" s="38"/>
      <c r="C175" s="71"/>
      <c r="D175" s="20"/>
      <c r="E175" s="25"/>
      <c r="F175" s="25"/>
      <c r="G175" s="33"/>
      <c r="H175" s="10"/>
      <c r="I175" s="10"/>
      <c r="J175" s="10"/>
      <c r="K175" s="25"/>
      <c r="L175" s="25"/>
      <c r="M175" s="25"/>
      <c r="N175" s="10"/>
      <c r="O175" s="10"/>
      <c r="P175" s="10"/>
      <c r="Q175" s="16"/>
      <c r="R175" s="16"/>
      <c r="S175" s="16"/>
      <c r="T175" s="20"/>
      <c r="U175" s="20"/>
      <c r="V175" s="20" t="s">
        <v>17</v>
      </c>
      <c r="W175" s="20"/>
      <c r="X175" s="20"/>
      <c r="Y175" s="20"/>
      <c r="Z175" s="1"/>
      <c r="AA175" s="20" t="s">
        <v>71</v>
      </c>
      <c r="AB175" s="20"/>
      <c r="AC175" s="20"/>
      <c r="AD175" s="20"/>
      <c r="AE175" s="37"/>
      <c r="AF175" s="66">
        <f>0.1*$AG$4*$AF$9^2</f>
        <v>6.0750000000000011</v>
      </c>
      <c r="AG175" s="66"/>
      <c r="AH175" s="66"/>
      <c r="AI175" s="37" t="s">
        <v>161</v>
      </c>
      <c r="AJ175" s="37"/>
      <c r="AK175" s="37"/>
      <c r="AL175" s="37"/>
      <c r="AM175" s="37"/>
      <c r="AN175" s="37"/>
      <c r="AO175" s="37"/>
      <c r="AP175" s="37"/>
      <c r="AQ175" s="37"/>
      <c r="AR175" s="44"/>
      <c r="AS175" s="43"/>
      <c r="AT175" s="37"/>
      <c r="AU175" s="37"/>
      <c r="AV175" s="37"/>
      <c r="AW175" s="37"/>
      <c r="AX175" s="37"/>
      <c r="AY175" s="37"/>
      <c r="AZ175" s="37"/>
      <c r="BA175" s="44"/>
      <c r="BB175" s="42"/>
    </row>
    <row r="176" spans="2:54">
      <c r="B176" s="38"/>
      <c r="C176" s="71"/>
      <c r="D176" s="20"/>
      <c r="E176" s="20"/>
      <c r="F176" s="27">
        <v>1</v>
      </c>
      <c r="G176" s="20"/>
      <c r="H176" s="20"/>
      <c r="I176" s="27">
        <v>2</v>
      </c>
      <c r="J176" s="20"/>
      <c r="K176" s="20"/>
      <c r="L176" s="27">
        <v>3</v>
      </c>
      <c r="M176" s="20"/>
      <c r="N176" s="20"/>
      <c r="O176" s="27">
        <v>4</v>
      </c>
      <c r="P176" s="20"/>
      <c r="Q176" s="20"/>
      <c r="R176" s="27">
        <v>5</v>
      </c>
      <c r="S176" s="20"/>
      <c r="T176" s="20"/>
      <c r="U176" s="20"/>
      <c r="V176" s="20" t="s">
        <v>43</v>
      </c>
      <c r="W176" s="20"/>
      <c r="X176" s="20"/>
      <c r="Y176" s="20"/>
      <c r="Z176" s="1"/>
      <c r="AA176" s="29" t="s">
        <v>24</v>
      </c>
      <c r="AB176" s="20"/>
      <c r="AC176" s="20"/>
      <c r="AD176" s="20"/>
      <c r="AE176" s="37"/>
      <c r="AF176" s="67"/>
      <c r="AG176" s="67"/>
      <c r="AH176" s="67"/>
      <c r="AI176" s="37"/>
      <c r="AJ176" s="37"/>
      <c r="AK176" s="37"/>
      <c r="AL176" s="37"/>
      <c r="AM176" s="37"/>
      <c r="AN176" s="37"/>
      <c r="AO176" s="37"/>
      <c r="AP176" s="37"/>
      <c r="AQ176" s="37"/>
      <c r="AR176" s="44"/>
      <c r="AS176" s="43"/>
      <c r="AT176" s="37"/>
      <c r="AU176" s="37"/>
      <c r="AV176" s="37"/>
      <c r="AW176" s="37"/>
      <c r="AX176" s="37"/>
      <c r="AY176" s="37"/>
      <c r="AZ176" s="37"/>
      <c r="BA176" s="44"/>
      <c r="BB176" s="42"/>
    </row>
    <row r="177" spans="2:54">
      <c r="B177" s="38"/>
      <c r="C177" s="71"/>
      <c r="D177" s="67" t="s">
        <v>8</v>
      </c>
      <c r="E177" s="67"/>
      <c r="F177" s="27"/>
      <c r="G177" s="67" t="s">
        <v>10</v>
      </c>
      <c r="H177" s="67"/>
      <c r="I177" s="27"/>
      <c r="J177" s="67" t="s">
        <v>11</v>
      </c>
      <c r="K177" s="67"/>
      <c r="L177" s="27"/>
      <c r="M177" s="67" t="s">
        <v>32</v>
      </c>
      <c r="N177" s="67"/>
      <c r="O177" s="27"/>
      <c r="P177" s="67" t="s">
        <v>63</v>
      </c>
      <c r="Q177" s="67"/>
      <c r="R177" s="27"/>
      <c r="S177" s="67" t="s">
        <v>108</v>
      </c>
      <c r="T177" s="67"/>
      <c r="U177" s="20"/>
      <c r="V177" s="20" t="s">
        <v>118</v>
      </c>
      <c r="W177" s="20"/>
      <c r="X177" s="20"/>
      <c r="Y177" s="20"/>
      <c r="Z177" s="1"/>
      <c r="AA177" s="20" t="s">
        <v>119</v>
      </c>
      <c r="AB177" s="20"/>
      <c r="AC177" s="20"/>
      <c r="AD177" s="20"/>
      <c r="AE177" s="37"/>
      <c r="AF177" s="66">
        <f>0.086*$AG$4*$AF$9^2</f>
        <v>5.2244999999999999</v>
      </c>
      <c r="AG177" s="66"/>
      <c r="AH177" s="66"/>
      <c r="AI177" s="37" t="s">
        <v>161</v>
      </c>
      <c r="AJ177" s="37"/>
      <c r="AK177" s="37"/>
      <c r="AL177" s="37"/>
      <c r="AM177" s="37"/>
      <c r="AN177" s="37"/>
      <c r="AO177" s="37"/>
      <c r="AP177" s="37"/>
      <c r="AQ177" s="37"/>
      <c r="AR177" s="44"/>
      <c r="AS177" s="43"/>
      <c r="AT177" s="37"/>
      <c r="AU177" s="37"/>
      <c r="AV177" s="37"/>
      <c r="AW177" s="37"/>
      <c r="AX177" s="37"/>
      <c r="AY177" s="37"/>
      <c r="AZ177" s="37"/>
      <c r="BA177" s="44"/>
      <c r="BB177" s="42"/>
    </row>
    <row r="178" spans="2:54">
      <c r="B178" s="38"/>
      <c r="C178" s="71"/>
      <c r="D178" s="20"/>
      <c r="E178" s="27"/>
      <c r="F178" s="27" t="s">
        <v>14</v>
      </c>
      <c r="G178" s="20"/>
      <c r="H178" s="27"/>
      <c r="I178" s="27" t="s">
        <v>14</v>
      </c>
      <c r="J178" s="20"/>
      <c r="K178" s="27"/>
      <c r="L178" s="27" t="s">
        <v>14</v>
      </c>
      <c r="M178" s="20"/>
      <c r="N178" s="27"/>
      <c r="O178" s="27" t="s">
        <v>14</v>
      </c>
      <c r="P178" s="20"/>
      <c r="Q178" s="28"/>
      <c r="R178" s="27" t="str">
        <f>+O178</f>
        <v>L</v>
      </c>
      <c r="S178" s="20"/>
      <c r="T178" s="20"/>
      <c r="U178" s="20"/>
      <c r="V178" s="20" t="s">
        <v>19</v>
      </c>
      <c r="W178" s="20"/>
      <c r="X178" s="20"/>
      <c r="Y178" s="20"/>
      <c r="Z178" s="1"/>
      <c r="AA178" s="26" t="s">
        <v>120</v>
      </c>
      <c r="AB178" s="20"/>
      <c r="AC178" s="20"/>
      <c r="AD178" s="20"/>
      <c r="AE178" s="37"/>
      <c r="AF178" s="66">
        <f>-0.053*$AG$4*$AF$9^2</f>
        <v>-3.2197499999999999</v>
      </c>
      <c r="AG178" s="66"/>
      <c r="AH178" s="66"/>
      <c r="AI178" s="37" t="s">
        <v>161</v>
      </c>
      <c r="AJ178" s="37"/>
      <c r="AK178" s="37"/>
      <c r="AL178" s="37"/>
      <c r="AM178" s="37"/>
      <c r="AN178" s="37"/>
      <c r="AO178" s="37"/>
      <c r="AP178" s="37"/>
      <c r="AQ178" s="37"/>
      <c r="AR178" s="44"/>
      <c r="AS178" s="43"/>
      <c r="AT178" s="37"/>
      <c r="AU178" s="37"/>
      <c r="AV178" s="37"/>
      <c r="AW178" s="37"/>
      <c r="AX178" s="37"/>
      <c r="AY178" s="37"/>
      <c r="AZ178" s="37"/>
      <c r="BA178" s="44"/>
      <c r="BB178" s="42"/>
    </row>
    <row r="179" spans="2:54">
      <c r="B179" s="38"/>
      <c r="C179" s="71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 t="s">
        <v>47</v>
      </c>
      <c r="W179" s="20"/>
      <c r="X179" s="20"/>
      <c r="Y179" s="20"/>
      <c r="Z179" s="1"/>
      <c r="AA179" s="26" t="s">
        <v>121</v>
      </c>
      <c r="AB179" s="20"/>
      <c r="AC179" s="20"/>
      <c r="AD179" s="20"/>
      <c r="AE179" s="37"/>
      <c r="AF179" s="66">
        <f>-0.039*$AG$4*$AF$9^2</f>
        <v>-2.3692500000000001</v>
      </c>
      <c r="AG179" s="66"/>
      <c r="AH179" s="66"/>
      <c r="AI179" s="37" t="s">
        <v>161</v>
      </c>
      <c r="AJ179" s="37"/>
      <c r="AK179" s="37"/>
      <c r="AL179" s="37"/>
      <c r="AM179" s="37"/>
      <c r="AN179" s="37"/>
      <c r="AO179" s="37"/>
      <c r="AP179" s="37"/>
      <c r="AQ179" s="37"/>
      <c r="AR179" s="44"/>
      <c r="AS179" s="43"/>
      <c r="AT179" s="37"/>
      <c r="AU179" s="37"/>
      <c r="AV179" s="37"/>
      <c r="AW179" s="37"/>
      <c r="AX179" s="37"/>
      <c r="AY179" s="37"/>
      <c r="AZ179" s="37"/>
      <c r="BA179" s="44"/>
      <c r="BB179" s="42"/>
    </row>
    <row r="180" spans="2:54">
      <c r="B180" s="38"/>
      <c r="C180" s="71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 t="s">
        <v>21</v>
      </c>
      <c r="W180" s="20"/>
      <c r="X180" s="20"/>
      <c r="Y180" s="20"/>
      <c r="Z180" s="1"/>
      <c r="AA180" s="20" t="s">
        <v>122</v>
      </c>
      <c r="AB180" s="20"/>
      <c r="AC180" s="20"/>
      <c r="AD180" s="20"/>
      <c r="AE180" s="37"/>
      <c r="AF180" s="66">
        <f>0.447*$AG$4*$AF$9</f>
        <v>6.0344999999999995</v>
      </c>
      <c r="AG180" s="66"/>
      <c r="AH180" s="66"/>
      <c r="AI180" s="37" t="s">
        <v>162</v>
      </c>
      <c r="AJ180" s="37"/>
      <c r="AK180" s="37"/>
      <c r="AL180" s="37"/>
      <c r="AM180" s="37"/>
      <c r="AN180" s="37"/>
      <c r="AO180" s="37"/>
      <c r="AP180" s="37"/>
      <c r="AQ180" s="37"/>
      <c r="AR180" s="44"/>
      <c r="AS180" s="43"/>
      <c r="AT180" s="37"/>
      <c r="AU180" s="37"/>
      <c r="AV180" s="37"/>
      <c r="AW180" s="37"/>
      <c r="AX180" s="37"/>
      <c r="AY180" s="37"/>
      <c r="AZ180" s="37"/>
      <c r="BA180" s="44"/>
      <c r="BB180" s="42"/>
    </row>
    <row r="181" spans="2:54">
      <c r="B181" s="38"/>
      <c r="C181" s="71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19" t="s">
        <v>157</v>
      </c>
      <c r="W181" s="20"/>
      <c r="X181" s="20"/>
      <c r="Y181" s="20"/>
      <c r="Z181" s="1"/>
      <c r="AA181" s="21" t="s">
        <v>201</v>
      </c>
      <c r="AB181" s="20"/>
      <c r="AC181" s="20"/>
      <c r="AD181" s="20"/>
      <c r="AE181" s="37"/>
      <c r="AF181" s="24"/>
      <c r="AG181" s="24"/>
      <c r="AH181" s="24"/>
      <c r="AI181" s="62">
        <f>0.973*$AG$4*$AF$9^4/($AM$5*1000*$AM$6/100000000*100)</f>
        <v>3.0165636025705645E-3</v>
      </c>
      <c r="AJ181" s="62"/>
      <c r="AK181" s="62"/>
      <c r="AL181" s="37" t="s">
        <v>160</v>
      </c>
      <c r="AM181" s="56" t="s">
        <v>164</v>
      </c>
      <c r="AN181" s="62">
        <f>+AI181*1000</f>
        <v>3.0165636025705647</v>
      </c>
      <c r="AO181" s="62"/>
      <c r="AP181" s="62"/>
      <c r="AQ181" s="37" t="s">
        <v>165</v>
      </c>
      <c r="AR181" s="44"/>
      <c r="AS181" s="43"/>
      <c r="AT181" s="37"/>
      <c r="AU181" s="37"/>
      <c r="AV181" s="37"/>
      <c r="AW181" s="37"/>
      <c r="AX181" s="37"/>
      <c r="AY181" s="37"/>
      <c r="AZ181" s="37"/>
      <c r="BA181" s="44"/>
      <c r="BB181" s="42"/>
    </row>
    <row r="182" spans="2:54">
      <c r="B182" s="38"/>
      <c r="C182" s="71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19" t="s">
        <v>158</v>
      </c>
      <c r="W182" s="20"/>
      <c r="X182" s="20"/>
      <c r="Y182" s="20"/>
      <c r="Z182" s="1"/>
      <c r="AA182" s="21" t="s">
        <v>202</v>
      </c>
      <c r="AB182" s="20"/>
      <c r="AC182" s="20"/>
      <c r="AD182" s="20"/>
      <c r="AE182" s="37"/>
      <c r="AF182" s="24"/>
      <c r="AG182" s="24"/>
      <c r="AH182" s="24"/>
      <c r="AI182" s="62">
        <f>-0.576*$AG$4*$AF$9^4/($AM$5*1000*$AM$6/100000000*100)</f>
        <v>-1.7857560483870963E-3</v>
      </c>
      <c r="AJ182" s="62"/>
      <c r="AK182" s="62"/>
      <c r="AL182" s="37" t="s">
        <v>160</v>
      </c>
      <c r="AM182" s="56" t="s">
        <v>164</v>
      </c>
      <c r="AN182" s="62">
        <f>+AI182*1000</f>
        <v>-1.7857560483870962</v>
      </c>
      <c r="AO182" s="62"/>
      <c r="AP182" s="62"/>
      <c r="AQ182" s="37" t="s">
        <v>165</v>
      </c>
      <c r="AR182" s="44"/>
      <c r="AS182" s="43"/>
      <c r="AT182" s="37"/>
      <c r="AU182" s="37"/>
      <c r="AV182" s="37"/>
      <c r="AW182" s="37"/>
      <c r="AX182" s="37"/>
      <c r="AY182" s="37"/>
      <c r="AZ182" s="37"/>
      <c r="BA182" s="44"/>
      <c r="BB182" s="42"/>
    </row>
    <row r="183" spans="2:54">
      <c r="B183" s="38"/>
      <c r="C183" s="71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19" t="s">
        <v>166</v>
      </c>
      <c r="W183" s="20"/>
      <c r="X183" s="20"/>
      <c r="Y183" s="20"/>
      <c r="Z183" s="1"/>
      <c r="AA183" s="21" t="s">
        <v>203</v>
      </c>
      <c r="AB183" s="20"/>
      <c r="AC183" s="20"/>
      <c r="AD183" s="20"/>
      <c r="AE183" s="37"/>
      <c r="AF183" s="24"/>
      <c r="AG183" s="24"/>
      <c r="AH183" s="24"/>
      <c r="AI183" s="62">
        <f>0.809*$AG$4*$AF$9^4/($AM$5*1000*$AM$6/100000000*100)</f>
        <v>2.5081191721270163E-3</v>
      </c>
      <c r="AJ183" s="62"/>
      <c r="AK183" s="62"/>
      <c r="AL183" s="37" t="s">
        <v>160</v>
      </c>
      <c r="AM183" s="56" t="s">
        <v>164</v>
      </c>
      <c r="AN183" s="62">
        <f>+AI183*1000</f>
        <v>2.5081191721270164</v>
      </c>
      <c r="AO183" s="62"/>
      <c r="AP183" s="62"/>
      <c r="AQ183" s="37" t="s">
        <v>165</v>
      </c>
      <c r="AR183" s="44"/>
      <c r="AS183" s="43"/>
      <c r="AT183" s="37"/>
      <c r="AU183" s="37"/>
      <c r="AV183" s="37"/>
      <c r="AW183" s="37"/>
      <c r="AX183" s="37"/>
      <c r="AY183" s="37"/>
      <c r="AZ183" s="37"/>
      <c r="BA183" s="44"/>
      <c r="BB183" s="42"/>
    </row>
    <row r="184" spans="2:54">
      <c r="B184" s="38"/>
      <c r="C184" s="71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19" t="s">
        <v>180</v>
      </c>
      <c r="W184" s="20"/>
      <c r="X184" s="20"/>
      <c r="Y184" s="20"/>
      <c r="Z184" s="1"/>
      <c r="AA184" s="21" t="s">
        <v>202</v>
      </c>
      <c r="AB184" s="20"/>
      <c r="AC184" s="20"/>
      <c r="AD184" s="20"/>
      <c r="AE184" s="37"/>
      <c r="AF184" s="24"/>
      <c r="AG184" s="24"/>
      <c r="AH184" s="24"/>
      <c r="AI184" s="62">
        <f>-0.576*$AG$4*$AF$9^4/($AM$5*1000*$AM$6/100000000*100)</f>
        <v>-1.7857560483870963E-3</v>
      </c>
      <c r="AJ184" s="62"/>
      <c r="AK184" s="62"/>
      <c r="AL184" s="37" t="s">
        <v>160</v>
      </c>
      <c r="AM184" s="56" t="s">
        <v>164</v>
      </c>
      <c r="AN184" s="62">
        <f>+AI184*1000</f>
        <v>-1.7857560483870962</v>
      </c>
      <c r="AO184" s="62"/>
      <c r="AP184" s="62"/>
      <c r="AQ184" s="37" t="s">
        <v>165</v>
      </c>
      <c r="AR184" s="44"/>
      <c r="AS184" s="43"/>
      <c r="AT184" s="37"/>
      <c r="AU184" s="37"/>
      <c r="AV184" s="37"/>
      <c r="AW184" s="37"/>
      <c r="AX184" s="37"/>
      <c r="AY184" s="37"/>
      <c r="AZ184" s="37"/>
      <c r="BA184" s="44"/>
      <c r="BB184" s="42"/>
    </row>
    <row r="185" spans="2:54">
      <c r="B185" s="38"/>
      <c r="C185" s="71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19" t="s">
        <v>196</v>
      </c>
      <c r="W185" s="20"/>
      <c r="X185" s="20"/>
      <c r="Y185" s="20"/>
      <c r="Z185" s="1"/>
      <c r="AA185" s="21" t="s">
        <v>204</v>
      </c>
      <c r="AB185" s="20"/>
      <c r="AC185" s="20"/>
      <c r="AD185" s="20"/>
      <c r="AE185" s="37"/>
      <c r="AF185" s="24"/>
      <c r="AG185" s="24"/>
      <c r="AH185" s="24"/>
      <c r="AI185" s="62">
        <f>0.973*$AG$4*$AF$9^4/($AM$5*1000*$AM$6/100000000*100)</f>
        <v>3.0165636025705645E-3</v>
      </c>
      <c r="AJ185" s="62"/>
      <c r="AK185" s="62"/>
      <c r="AL185" s="37" t="s">
        <v>160</v>
      </c>
      <c r="AM185" s="56" t="s">
        <v>164</v>
      </c>
      <c r="AN185" s="62">
        <f>+AI185*1000</f>
        <v>3.0165636025705647</v>
      </c>
      <c r="AO185" s="62"/>
      <c r="AP185" s="62"/>
      <c r="AQ185" s="37" t="s">
        <v>165</v>
      </c>
      <c r="AR185" s="44"/>
      <c r="AS185" s="43"/>
      <c r="AT185" s="37"/>
      <c r="AU185" s="37"/>
      <c r="AV185" s="37"/>
      <c r="AW185" s="37"/>
      <c r="AX185" s="37"/>
      <c r="AY185" s="37"/>
      <c r="AZ185" s="37"/>
      <c r="BA185" s="44"/>
      <c r="BB185" s="42"/>
    </row>
    <row r="186" spans="2:54">
      <c r="B186" s="38"/>
      <c r="C186" s="71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6"/>
      <c r="AA186" s="7"/>
      <c r="AB186" s="7"/>
      <c r="AC186" s="7"/>
      <c r="AD186" s="7"/>
      <c r="AE186" s="48"/>
      <c r="AF186" s="7"/>
      <c r="AG186" s="7"/>
      <c r="AH186" s="7"/>
      <c r="AI186" s="48"/>
      <c r="AJ186" s="48"/>
      <c r="AK186" s="48"/>
      <c r="AL186" s="48"/>
      <c r="AM186" s="48"/>
      <c r="AN186" s="48"/>
      <c r="AO186" s="48"/>
      <c r="AP186" s="48"/>
      <c r="AQ186" s="48"/>
      <c r="AR186" s="49"/>
      <c r="AS186" s="43"/>
      <c r="AT186" s="37"/>
      <c r="AU186" s="37"/>
      <c r="AV186" s="37"/>
      <c r="AW186" s="37"/>
      <c r="AX186" s="37"/>
      <c r="AY186" s="37"/>
      <c r="AZ186" s="37"/>
      <c r="BA186" s="44"/>
      <c r="BB186" s="42"/>
    </row>
    <row r="187" spans="2:54">
      <c r="B187" s="38"/>
      <c r="C187" s="71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13"/>
      <c r="AA187" s="14"/>
      <c r="AB187" s="14"/>
      <c r="AC187" s="14"/>
      <c r="AD187" s="14"/>
      <c r="AE187" s="40"/>
      <c r="AF187" s="14"/>
      <c r="AG187" s="14"/>
      <c r="AH187" s="14"/>
      <c r="AI187" s="40"/>
      <c r="AJ187" s="40"/>
      <c r="AK187" s="40"/>
      <c r="AL187" s="40"/>
      <c r="AM187" s="40"/>
      <c r="AN187" s="40"/>
      <c r="AO187" s="40"/>
      <c r="AP187" s="40"/>
      <c r="AQ187" s="40"/>
      <c r="AR187" s="41"/>
      <c r="AS187" s="43"/>
      <c r="AT187" s="37"/>
      <c r="AU187" s="37"/>
      <c r="AV187" s="37"/>
      <c r="AW187" s="37"/>
      <c r="AX187" s="37"/>
      <c r="AY187" s="37"/>
      <c r="AZ187" s="37"/>
      <c r="BA187" s="44"/>
      <c r="BB187" s="42"/>
    </row>
    <row r="188" spans="2:54" ht="12" thickBot="1">
      <c r="B188" s="38"/>
      <c r="C188" s="71"/>
      <c r="D188" s="20"/>
      <c r="E188" s="10"/>
      <c r="F188" s="10"/>
      <c r="G188" s="10"/>
      <c r="H188" s="25"/>
      <c r="I188" s="25"/>
      <c r="J188" s="33"/>
      <c r="K188" s="10"/>
      <c r="L188" s="10"/>
      <c r="M188" s="10"/>
      <c r="N188" s="25"/>
      <c r="O188" s="25"/>
      <c r="P188" s="25"/>
      <c r="Q188" s="10"/>
      <c r="R188" s="10"/>
      <c r="S188" s="10"/>
      <c r="T188" s="20"/>
      <c r="U188" s="20"/>
      <c r="V188" s="20" t="s">
        <v>23</v>
      </c>
      <c r="W188" s="20"/>
      <c r="X188" s="20"/>
      <c r="Y188" s="20"/>
      <c r="Z188" s="1"/>
      <c r="AA188" s="29" t="s">
        <v>24</v>
      </c>
      <c r="AB188" s="20"/>
      <c r="AC188" s="20"/>
      <c r="AD188" s="20"/>
      <c r="AE188" s="37"/>
      <c r="AF188" s="20"/>
      <c r="AG188" s="20"/>
      <c r="AH188" s="20"/>
      <c r="AI188" s="37"/>
      <c r="AJ188" s="37"/>
      <c r="AK188" s="37"/>
      <c r="AL188" s="37"/>
      <c r="AM188" s="37"/>
      <c r="AN188" s="37"/>
      <c r="AO188" s="37"/>
      <c r="AP188" s="37"/>
      <c r="AQ188" s="37"/>
      <c r="AR188" s="44"/>
      <c r="AS188" s="43"/>
      <c r="AT188" s="37"/>
      <c r="AU188" s="37"/>
      <c r="AV188" s="37"/>
      <c r="AW188" s="37"/>
      <c r="AX188" s="37"/>
      <c r="AY188" s="37"/>
      <c r="AZ188" s="37"/>
      <c r="BA188" s="44"/>
      <c r="BB188" s="42"/>
    </row>
    <row r="189" spans="2:54">
      <c r="B189" s="38"/>
      <c r="C189" s="71"/>
      <c r="D189" s="20"/>
      <c r="E189" s="20"/>
      <c r="F189" s="27">
        <v>1</v>
      </c>
      <c r="G189" s="20"/>
      <c r="H189" s="20"/>
      <c r="I189" s="27">
        <v>2</v>
      </c>
      <c r="J189" s="20"/>
      <c r="K189" s="20"/>
      <c r="L189" s="27">
        <v>3</v>
      </c>
      <c r="M189" s="20"/>
      <c r="N189" s="20"/>
      <c r="O189" s="27">
        <v>4</v>
      </c>
      <c r="P189" s="20"/>
      <c r="Q189" s="20"/>
      <c r="R189" s="27">
        <v>5</v>
      </c>
      <c r="S189" s="20"/>
      <c r="T189" s="20"/>
      <c r="U189" s="20"/>
      <c r="V189" s="20" t="s">
        <v>40</v>
      </c>
      <c r="W189" s="20"/>
      <c r="X189" s="20"/>
      <c r="Y189" s="20"/>
      <c r="Z189" s="1"/>
      <c r="AA189" s="20" t="s">
        <v>123</v>
      </c>
      <c r="AB189" s="20"/>
      <c r="AC189" s="20"/>
      <c r="AD189" s="20"/>
      <c r="AE189" s="37"/>
      <c r="AF189" s="66">
        <f>0.079*$AG$4*$AF$9^2</f>
        <v>4.7992499999999998</v>
      </c>
      <c r="AG189" s="66"/>
      <c r="AH189" s="66"/>
      <c r="AI189" s="37" t="s">
        <v>161</v>
      </c>
      <c r="AJ189" s="37"/>
      <c r="AK189" s="37"/>
      <c r="AL189" s="37"/>
      <c r="AM189" s="37"/>
      <c r="AN189" s="37"/>
      <c r="AO189" s="37"/>
      <c r="AP189" s="37"/>
      <c r="AQ189" s="37"/>
      <c r="AR189" s="44"/>
      <c r="AS189" s="43"/>
      <c r="AT189" s="37"/>
      <c r="AU189" s="37"/>
      <c r="AV189" s="37"/>
      <c r="AW189" s="37"/>
      <c r="AX189" s="37"/>
      <c r="AY189" s="37"/>
      <c r="AZ189" s="37"/>
      <c r="BA189" s="44"/>
      <c r="BB189" s="42"/>
    </row>
    <row r="190" spans="2:54">
      <c r="B190" s="38"/>
      <c r="C190" s="71"/>
      <c r="D190" s="67" t="s">
        <v>8</v>
      </c>
      <c r="E190" s="67"/>
      <c r="F190" s="27"/>
      <c r="G190" s="67" t="s">
        <v>10</v>
      </c>
      <c r="H190" s="67"/>
      <c r="I190" s="27"/>
      <c r="J190" s="67" t="s">
        <v>11</v>
      </c>
      <c r="K190" s="67"/>
      <c r="L190" s="27"/>
      <c r="M190" s="67" t="s">
        <v>32</v>
      </c>
      <c r="N190" s="67"/>
      <c r="O190" s="27"/>
      <c r="P190" s="67" t="s">
        <v>63</v>
      </c>
      <c r="Q190" s="67"/>
      <c r="R190" s="27"/>
      <c r="S190" s="67" t="s">
        <v>108</v>
      </c>
      <c r="T190" s="67"/>
      <c r="U190" s="20"/>
      <c r="V190" s="20" t="s">
        <v>124</v>
      </c>
      <c r="W190" s="20"/>
      <c r="X190" s="20"/>
      <c r="Y190" s="20"/>
      <c r="Z190" s="1"/>
      <c r="AA190" s="29" t="s">
        <v>24</v>
      </c>
      <c r="AB190" s="20"/>
      <c r="AC190" s="20"/>
      <c r="AD190" s="20"/>
      <c r="AE190" s="37"/>
      <c r="AF190" s="20"/>
      <c r="AG190" s="20"/>
      <c r="AH190" s="20"/>
      <c r="AI190" s="37"/>
      <c r="AJ190" s="37"/>
      <c r="AK190" s="37"/>
      <c r="AL190" s="37"/>
      <c r="AM190" s="37"/>
      <c r="AN190" s="37"/>
      <c r="AO190" s="37"/>
      <c r="AP190" s="37"/>
      <c r="AQ190" s="37"/>
      <c r="AR190" s="44"/>
      <c r="AS190" s="43"/>
      <c r="AT190" s="37"/>
      <c r="AU190" s="37"/>
      <c r="AV190" s="37"/>
      <c r="AW190" s="37"/>
      <c r="AX190" s="37"/>
      <c r="AY190" s="37"/>
      <c r="AZ190" s="37"/>
      <c r="BA190" s="44"/>
      <c r="BB190" s="42"/>
    </row>
    <row r="191" spans="2:54">
      <c r="B191" s="38"/>
      <c r="C191" s="71"/>
      <c r="D191" s="20"/>
      <c r="E191" s="27"/>
      <c r="F191" s="27" t="s">
        <v>14</v>
      </c>
      <c r="G191" s="20"/>
      <c r="H191" s="27"/>
      <c r="I191" s="27" t="s">
        <v>14</v>
      </c>
      <c r="J191" s="20"/>
      <c r="K191" s="27"/>
      <c r="L191" s="27" t="s">
        <v>14</v>
      </c>
      <c r="M191" s="20"/>
      <c r="N191" s="27"/>
      <c r="O191" s="27" t="s">
        <v>14</v>
      </c>
      <c r="P191" s="20"/>
      <c r="Q191" s="28"/>
      <c r="R191" s="27" t="str">
        <f>+O191</f>
        <v>L</v>
      </c>
      <c r="S191" s="20"/>
      <c r="T191" s="20"/>
      <c r="U191" s="20"/>
      <c r="V191" s="20" t="s">
        <v>19</v>
      </c>
      <c r="W191" s="20"/>
      <c r="X191" s="20"/>
      <c r="Y191" s="20"/>
      <c r="Z191" s="1"/>
      <c r="AA191" s="26" t="s">
        <v>120</v>
      </c>
      <c r="AB191" s="20"/>
      <c r="AC191" s="20"/>
      <c r="AD191" s="20"/>
      <c r="AE191" s="37"/>
      <c r="AF191" s="66">
        <f>-0.053*$AG$4*$AF$9^2</f>
        <v>-3.2197499999999999</v>
      </c>
      <c r="AG191" s="66"/>
      <c r="AH191" s="66"/>
      <c r="AI191" s="37" t="s">
        <v>161</v>
      </c>
      <c r="AJ191" s="37"/>
      <c r="AK191" s="37"/>
      <c r="AL191" s="37"/>
      <c r="AM191" s="37"/>
      <c r="AN191" s="37"/>
      <c r="AO191" s="37"/>
      <c r="AP191" s="37"/>
      <c r="AQ191" s="37"/>
      <c r="AR191" s="44"/>
      <c r="AS191" s="43"/>
      <c r="AT191" s="37"/>
      <c r="AU191" s="37"/>
      <c r="AV191" s="37"/>
      <c r="AW191" s="37"/>
      <c r="AX191" s="37"/>
      <c r="AY191" s="37"/>
      <c r="AZ191" s="37"/>
      <c r="BA191" s="44"/>
      <c r="BB191" s="42"/>
    </row>
    <row r="192" spans="2:54">
      <c r="B192" s="38"/>
      <c r="C192" s="71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 t="s">
        <v>47</v>
      </c>
      <c r="W192" s="20"/>
      <c r="X192" s="20"/>
      <c r="Y192" s="20"/>
      <c r="Z192" s="1"/>
      <c r="AA192" s="26" t="s">
        <v>121</v>
      </c>
      <c r="AB192" s="20"/>
      <c r="AC192" s="20"/>
      <c r="AD192" s="20"/>
      <c r="AE192" s="37"/>
      <c r="AF192" s="66">
        <f>-0.039*$AG$4*$AF$9^2</f>
        <v>-2.3692500000000001</v>
      </c>
      <c r="AG192" s="66"/>
      <c r="AH192" s="66"/>
      <c r="AI192" s="37" t="s">
        <v>161</v>
      </c>
      <c r="AJ192" s="37"/>
      <c r="AK192" s="37"/>
      <c r="AL192" s="37"/>
      <c r="AM192" s="37"/>
      <c r="AN192" s="37"/>
      <c r="AO192" s="37"/>
      <c r="AP192" s="37"/>
      <c r="AQ192" s="37"/>
      <c r="AR192" s="44"/>
      <c r="AS192" s="43"/>
      <c r="AT192" s="37"/>
      <c r="AU192" s="37"/>
      <c r="AV192" s="37"/>
      <c r="AW192" s="37"/>
      <c r="AX192" s="37"/>
      <c r="AY192" s="37"/>
      <c r="AZ192" s="37"/>
      <c r="BA192" s="44"/>
      <c r="BB192" s="42"/>
    </row>
    <row r="193" spans="2:54">
      <c r="B193" s="38"/>
      <c r="C193" s="71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 t="s">
        <v>25</v>
      </c>
      <c r="W193" s="20"/>
      <c r="X193" s="20"/>
      <c r="Y193" s="20"/>
      <c r="Z193" s="1"/>
      <c r="AA193" s="26" t="s">
        <v>125</v>
      </c>
      <c r="AB193" s="20"/>
      <c r="AC193" s="20"/>
      <c r="AD193" s="20"/>
      <c r="AE193" s="37"/>
      <c r="AF193" s="66">
        <f>-0.053*$AG$4*$AF$9</f>
        <v>-0.71550000000000002</v>
      </c>
      <c r="AG193" s="66"/>
      <c r="AH193" s="66"/>
      <c r="AI193" s="37" t="s">
        <v>162</v>
      </c>
      <c r="AJ193" s="37"/>
      <c r="AK193" s="37"/>
      <c r="AL193" s="37"/>
      <c r="AM193" s="37"/>
      <c r="AN193" s="37"/>
      <c r="AO193" s="37"/>
      <c r="AP193" s="37"/>
      <c r="AQ193" s="37"/>
      <c r="AR193" s="44"/>
      <c r="AS193" s="43"/>
      <c r="AT193" s="37"/>
      <c r="AU193" s="37"/>
      <c r="AV193" s="37"/>
      <c r="AW193" s="37"/>
      <c r="AX193" s="37"/>
      <c r="AY193" s="37"/>
      <c r="AZ193" s="37"/>
      <c r="BA193" s="44"/>
      <c r="BB193" s="42"/>
    </row>
    <row r="194" spans="2:54">
      <c r="B194" s="38"/>
      <c r="C194" s="71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19" t="s">
        <v>157</v>
      </c>
      <c r="W194" s="20"/>
      <c r="X194" s="20"/>
      <c r="Y194" s="20"/>
      <c r="Z194" s="1"/>
      <c r="AA194" s="21" t="s">
        <v>205</v>
      </c>
      <c r="AB194" s="20"/>
      <c r="AC194" s="20"/>
      <c r="AD194" s="20"/>
      <c r="AE194" s="37"/>
      <c r="AF194" s="24"/>
      <c r="AG194" s="24"/>
      <c r="AH194" s="24"/>
      <c r="AI194" s="62">
        <f>-0.329*$AG$4*$AF$9^4/($AM$5*1000*$AM$6/100000000*100)</f>
        <v>-1.0199891318044354E-3</v>
      </c>
      <c r="AJ194" s="62"/>
      <c r="AK194" s="62"/>
      <c r="AL194" s="37" t="s">
        <v>160</v>
      </c>
      <c r="AM194" s="56" t="s">
        <v>164</v>
      </c>
      <c r="AN194" s="62">
        <f>+AI194*1000</f>
        <v>-1.0199891318044354</v>
      </c>
      <c r="AO194" s="62"/>
      <c r="AP194" s="62"/>
      <c r="AQ194" s="37" t="s">
        <v>165</v>
      </c>
      <c r="AR194" s="44"/>
      <c r="AS194" s="43"/>
      <c r="AT194" s="37"/>
      <c r="AU194" s="37"/>
      <c r="AV194" s="37"/>
      <c r="AW194" s="37"/>
      <c r="AX194" s="37"/>
      <c r="AY194" s="37"/>
      <c r="AZ194" s="37"/>
      <c r="BA194" s="44"/>
      <c r="BB194" s="42"/>
    </row>
    <row r="195" spans="2:54">
      <c r="B195" s="38"/>
      <c r="C195" s="71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19" t="s">
        <v>158</v>
      </c>
      <c r="W195" s="20"/>
      <c r="X195" s="20"/>
      <c r="Y195" s="20"/>
      <c r="Z195" s="1"/>
      <c r="AA195" s="21" t="s">
        <v>206</v>
      </c>
      <c r="AB195" s="20"/>
      <c r="AC195" s="20"/>
      <c r="AD195" s="20"/>
      <c r="AE195" s="37"/>
      <c r="AF195" s="24"/>
      <c r="AG195" s="24"/>
      <c r="AH195" s="24"/>
      <c r="AI195" s="62">
        <f>0.727*$AG$4*$AF$9^4/($AM$5*1000*$AM$6/100000000*100)</f>
        <v>2.2538969569052421E-3</v>
      </c>
      <c r="AJ195" s="62"/>
      <c r="AK195" s="62"/>
      <c r="AL195" s="37" t="s">
        <v>160</v>
      </c>
      <c r="AM195" s="56" t="s">
        <v>164</v>
      </c>
      <c r="AN195" s="62">
        <f>+AI195*1000</f>
        <v>2.2538969569052423</v>
      </c>
      <c r="AO195" s="62"/>
      <c r="AP195" s="62"/>
      <c r="AQ195" s="37" t="s">
        <v>165</v>
      </c>
      <c r="AR195" s="44"/>
      <c r="AS195" s="43"/>
      <c r="AT195" s="37"/>
      <c r="AU195" s="37"/>
      <c r="AV195" s="37"/>
      <c r="AW195" s="37"/>
      <c r="AX195" s="37"/>
      <c r="AY195" s="37"/>
      <c r="AZ195" s="37"/>
      <c r="BA195" s="44"/>
      <c r="BB195" s="42"/>
    </row>
    <row r="196" spans="2:54">
      <c r="B196" s="38"/>
      <c r="C196" s="71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19" t="s">
        <v>166</v>
      </c>
      <c r="W196" s="20"/>
      <c r="X196" s="20"/>
      <c r="Y196" s="20"/>
      <c r="Z196" s="1"/>
      <c r="AA196" s="21" t="s">
        <v>207</v>
      </c>
      <c r="AB196" s="20"/>
      <c r="AC196" s="20"/>
      <c r="AD196" s="20"/>
      <c r="AE196" s="37"/>
      <c r="AF196" s="24"/>
      <c r="AG196" s="24"/>
      <c r="AH196" s="24"/>
      <c r="AI196" s="62">
        <f>-0.493*$AG$4*$AF$9^4/($AM$5*1000*$AM$6/100000000*100)</f>
        <v>-1.5284335622479841E-3</v>
      </c>
      <c r="AJ196" s="62"/>
      <c r="AK196" s="62"/>
      <c r="AL196" s="37" t="s">
        <v>160</v>
      </c>
      <c r="AM196" s="56" t="s">
        <v>164</v>
      </c>
      <c r="AN196" s="62">
        <f>+AI196*1000</f>
        <v>-1.5284335622479841</v>
      </c>
      <c r="AO196" s="62"/>
      <c r="AP196" s="62"/>
      <c r="AQ196" s="37" t="s">
        <v>165</v>
      </c>
      <c r="AR196" s="44"/>
      <c r="AS196" s="43"/>
      <c r="AT196" s="37"/>
      <c r="AU196" s="37"/>
      <c r="AV196" s="37"/>
      <c r="AW196" s="37"/>
      <c r="AX196" s="37"/>
      <c r="AY196" s="37"/>
      <c r="AZ196" s="37"/>
      <c r="BA196" s="44"/>
      <c r="BB196" s="42"/>
    </row>
    <row r="197" spans="2:54">
      <c r="B197" s="38"/>
      <c r="C197" s="71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19" t="s">
        <v>180</v>
      </c>
      <c r="W197" s="20"/>
      <c r="X197" s="20"/>
      <c r="Y197" s="20"/>
      <c r="Z197" s="1"/>
      <c r="AA197" s="21" t="s">
        <v>206</v>
      </c>
      <c r="AB197" s="20"/>
      <c r="AC197" s="20"/>
      <c r="AD197" s="20"/>
      <c r="AE197" s="37"/>
      <c r="AF197" s="24"/>
      <c r="AG197" s="24"/>
      <c r="AH197" s="24"/>
      <c r="AI197" s="62">
        <f>0.727*$AG$4*$AF$9^4/($AM$5*1000*$AM$6/100000000*100)</f>
        <v>2.2538969569052421E-3</v>
      </c>
      <c r="AJ197" s="62"/>
      <c r="AK197" s="62"/>
      <c r="AL197" s="37" t="s">
        <v>160</v>
      </c>
      <c r="AM197" s="56" t="s">
        <v>164</v>
      </c>
      <c r="AN197" s="62">
        <f>+AI197*1000</f>
        <v>2.2538969569052423</v>
      </c>
      <c r="AO197" s="62"/>
      <c r="AP197" s="62"/>
      <c r="AQ197" s="37" t="s">
        <v>165</v>
      </c>
      <c r="AR197" s="44"/>
      <c r="AS197" s="43"/>
      <c r="AT197" s="37"/>
      <c r="AU197" s="37"/>
      <c r="AV197" s="37"/>
      <c r="AW197" s="37"/>
      <c r="AX197" s="37"/>
      <c r="AY197" s="37"/>
      <c r="AZ197" s="37"/>
      <c r="BA197" s="44"/>
      <c r="BB197" s="42"/>
    </row>
    <row r="198" spans="2:54">
      <c r="B198" s="38"/>
      <c r="C198" s="71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19" t="s">
        <v>196</v>
      </c>
      <c r="W198" s="20"/>
      <c r="X198" s="20"/>
      <c r="Y198" s="20"/>
      <c r="Z198" s="1"/>
      <c r="AA198" s="21" t="s">
        <v>205</v>
      </c>
      <c r="AB198" s="20"/>
      <c r="AC198" s="20"/>
      <c r="AD198" s="20"/>
      <c r="AE198" s="37"/>
      <c r="AF198" s="24"/>
      <c r="AG198" s="24"/>
      <c r="AH198" s="24"/>
      <c r="AI198" s="62">
        <f>-0.329*$AG$4*$AF$9^4/($AM$5*1000*$AM$6/100000000*100)</f>
        <v>-1.0199891318044354E-3</v>
      </c>
      <c r="AJ198" s="62"/>
      <c r="AK198" s="62"/>
      <c r="AL198" s="37" t="s">
        <v>160</v>
      </c>
      <c r="AM198" s="56" t="s">
        <v>164</v>
      </c>
      <c r="AN198" s="62">
        <f>+AI198*1000</f>
        <v>-1.0199891318044354</v>
      </c>
      <c r="AO198" s="62"/>
      <c r="AP198" s="62"/>
      <c r="AQ198" s="37" t="s">
        <v>165</v>
      </c>
      <c r="AR198" s="44"/>
      <c r="AS198" s="43"/>
      <c r="AT198" s="37"/>
      <c r="AU198" s="37"/>
      <c r="AV198" s="37"/>
      <c r="AW198" s="37"/>
      <c r="AX198" s="37"/>
      <c r="AY198" s="37"/>
      <c r="AZ198" s="37"/>
      <c r="BA198" s="44"/>
      <c r="BB198" s="42"/>
    </row>
    <row r="199" spans="2:54">
      <c r="B199" s="38"/>
      <c r="C199" s="71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6"/>
      <c r="AA199" s="7"/>
      <c r="AB199" s="7"/>
      <c r="AC199" s="7"/>
      <c r="AD199" s="7"/>
      <c r="AE199" s="48"/>
      <c r="AF199" s="7"/>
      <c r="AG199" s="7"/>
      <c r="AH199" s="7"/>
      <c r="AI199" s="48"/>
      <c r="AJ199" s="48"/>
      <c r="AK199" s="48"/>
      <c r="AL199" s="48"/>
      <c r="AM199" s="48"/>
      <c r="AN199" s="48"/>
      <c r="AO199" s="48"/>
      <c r="AP199" s="48"/>
      <c r="AQ199" s="48"/>
      <c r="AR199" s="49"/>
      <c r="AS199" s="43"/>
      <c r="AT199" s="37"/>
      <c r="AU199" s="37"/>
      <c r="AV199" s="37"/>
      <c r="AW199" s="37"/>
      <c r="AX199" s="37"/>
      <c r="AY199" s="37"/>
      <c r="AZ199" s="37"/>
      <c r="BA199" s="44"/>
      <c r="BB199" s="42"/>
    </row>
    <row r="200" spans="2:54">
      <c r="B200" s="38"/>
      <c r="C200" s="71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3"/>
      <c r="AA200" s="14"/>
      <c r="AB200" s="14"/>
      <c r="AC200" s="14"/>
      <c r="AD200" s="14"/>
      <c r="AE200" s="40"/>
      <c r="AF200" s="14"/>
      <c r="AG200" s="14"/>
      <c r="AH200" s="14"/>
      <c r="AI200" s="40"/>
      <c r="AJ200" s="40"/>
      <c r="AK200" s="40"/>
      <c r="AL200" s="40"/>
      <c r="AM200" s="40"/>
      <c r="AN200" s="40"/>
      <c r="AO200" s="40"/>
      <c r="AP200" s="40"/>
      <c r="AQ200" s="40"/>
      <c r="AR200" s="41"/>
      <c r="AS200" s="43"/>
      <c r="AT200" s="19" t="s">
        <v>222</v>
      </c>
      <c r="AU200" s="37"/>
      <c r="AV200" s="37"/>
      <c r="AW200" s="37"/>
      <c r="AX200" s="37"/>
      <c r="AY200" s="37"/>
      <c r="AZ200" s="37"/>
      <c r="BA200" s="44"/>
      <c r="BB200" s="42"/>
    </row>
    <row r="201" spans="2:54" ht="12" thickBot="1">
      <c r="B201" s="38"/>
      <c r="C201" s="71"/>
      <c r="D201" s="20"/>
      <c r="E201" s="25"/>
      <c r="F201" s="25"/>
      <c r="G201" s="33"/>
      <c r="H201" s="25"/>
      <c r="I201" s="25"/>
      <c r="J201" s="33"/>
      <c r="K201" s="10"/>
      <c r="L201" s="10"/>
      <c r="M201" s="10"/>
      <c r="N201" s="25"/>
      <c r="O201" s="25"/>
      <c r="P201" s="25"/>
      <c r="Q201" s="10"/>
      <c r="R201" s="10"/>
      <c r="S201" s="10"/>
      <c r="T201" s="20"/>
      <c r="U201" s="20"/>
      <c r="V201" s="20" t="s">
        <v>6</v>
      </c>
      <c r="W201" s="20"/>
      <c r="X201" s="20"/>
      <c r="Y201" s="20"/>
      <c r="Z201" s="1"/>
      <c r="AA201" s="26" t="s">
        <v>126</v>
      </c>
      <c r="AB201" s="20"/>
      <c r="AC201" s="20"/>
      <c r="AD201" s="20"/>
      <c r="AE201" s="37"/>
      <c r="AF201" s="66">
        <f>-0.12*$AG$4*$AF$9^2</f>
        <v>-7.29</v>
      </c>
      <c r="AG201" s="66"/>
      <c r="AH201" s="66"/>
      <c r="AI201" s="37" t="s">
        <v>161</v>
      </c>
      <c r="AJ201" s="37"/>
      <c r="AK201" s="37"/>
      <c r="AL201" s="37"/>
      <c r="AM201" s="37"/>
      <c r="AN201" s="37"/>
      <c r="AO201" s="37"/>
      <c r="AP201" s="37"/>
      <c r="AQ201" s="37"/>
      <c r="AR201" s="44"/>
      <c r="AS201" s="43"/>
      <c r="AT201" s="19" t="s">
        <v>221</v>
      </c>
      <c r="AU201" s="37"/>
      <c r="AV201" s="37"/>
      <c r="AW201" s="62">
        <f>MAX(ABS(AN168),ABS(AN169),ABS(AN170),ABS(AN171),ABS(AN172),ABS(AN181),ABS(AN182),ABS(AN183),ABS(AN194),ABS(AN195),ABS(AN196),ABS(AN197),ABS(AN198),ABS(AN208),ABS(AN209),ABS(AN210),ABS(AN211),ABS(AN212),ABS(AN231),ABS(AN232),ABS(AN233),ABS(AN234),ABS(AN235))</f>
        <v>3.0165636025705647</v>
      </c>
      <c r="AX201" s="62"/>
      <c r="AY201" s="62"/>
      <c r="AZ201" s="37" t="s">
        <v>165</v>
      </c>
      <c r="BA201" s="44"/>
      <c r="BB201" s="42"/>
    </row>
    <row r="202" spans="2:54">
      <c r="B202" s="38"/>
      <c r="C202" s="71"/>
      <c r="D202" s="20"/>
      <c r="E202" s="20"/>
      <c r="F202" s="27">
        <v>1</v>
      </c>
      <c r="G202" s="20"/>
      <c r="H202" s="20"/>
      <c r="I202" s="27">
        <v>2</v>
      </c>
      <c r="J202" s="20"/>
      <c r="K202" s="20"/>
      <c r="L202" s="27">
        <v>3</v>
      </c>
      <c r="M202" s="20"/>
      <c r="N202" s="20"/>
      <c r="O202" s="27">
        <v>4</v>
      </c>
      <c r="P202" s="20"/>
      <c r="Q202" s="20"/>
      <c r="R202" s="27">
        <v>5</v>
      </c>
      <c r="S202" s="20"/>
      <c r="T202" s="20"/>
      <c r="U202" s="20"/>
      <c r="V202" s="20" t="s">
        <v>47</v>
      </c>
      <c r="W202" s="20"/>
      <c r="X202" s="20"/>
      <c r="Y202" s="20"/>
      <c r="Z202" s="1"/>
      <c r="AA202" s="26" t="s">
        <v>127</v>
      </c>
      <c r="AB202" s="20"/>
      <c r="AC202" s="20"/>
      <c r="AD202" s="20"/>
      <c r="AE202" s="37"/>
      <c r="AF202" s="66">
        <f>-0.022*$AG$4*$AF$9^2</f>
        <v>-1.3365</v>
      </c>
      <c r="AG202" s="66"/>
      <c r="AH202" s="66"/>
      <c r="AI202" s="37" t="s">
        <v>161</v>
      </c>
      <c r="AJ202" s="37"/>
      <c r="AK202" s="37"/>
      <c r="AL202" s="37"/>
      <c r="AM202" s="37"/>
      <c r="AN202" s="37"/>
      <c r="AO202" s="37"/>
      <c r="AP202" s="37"/>
      <c r="AQ202" s="37"/>
      <c r="AR202" s="44"/>
      <c r="AS202" s="43"/>
      <c r="AT202" s="37"/>
      <c r="AU202" s="37"/>
      <c r="AV202" s="37"/>
      <c r="AW202" s="61" t="str">
        <f>IF(AQ84&gt;AQ8,"uygun.","uygun değil.")</f>
        <v>uygun değil.</v>
      </c>
      <c r="AX202" s="37"/>
      <c r="AY202" s="37"/>
      <c r="AZ202" s="37"/>
      <c r="BA202" s="44"/>
      <c r="BB202" s="42"/>
    </row>
    <row r="203" spans="2:54">
      <c r="B203" s="38"/>
      <c r="C203" s="71"/>
      <c r="D203" s="67" t="s">
        <v>8</v>
      </c>
      <c r="E203" s="67"/>
      <c r="F203" s="27"/>
      <c r="G203" s="67" t="s">
        <v>10</v>
      </c>
      <c r="H203" s="67"/>
      <c r="I203" s="27"/>
      <c r="J203" s="67" t="s">
        <v>11</v>
      </c>
      <c r="K203" s="67"/>
      <c r="L203" s="27"/>
      <c r="M203" s="67" t="s">
        <v>32</v>
      </c>
      <c r="N203" s="67"/>
      <c r="O203" s="27"/>
      <c r="P203" s="67" t="s">
        <v>63</v>
      </c>
      <c r="Q203" s="67"/>
      <c r="R203" s="27"/>
      <c r="S203" s="67" t="s">
        <v>108</v>
      </c>
      <c r="T203" s="67"/>
      <c r="U203" s="20"/>
      <c r="V203" s="20" t="s">
        <v>79</v>
      </c>
      <c r="W203" s="20"/>
      <c r="X203" s="20"/>
      <c r="Y203" s="20"/>
      <c r="Z203" s="1"/>
      <c r="AA203" s="26" t="s">
        <v>128</v>
      </c>
      <c r="AB203" s="20"/>
      <c r="AC203" s="20"/>
      <c r="AD203" s="20"/>
      <c r="AE203" s="37"/>
      <c r="AF203" s="66">
        <f>-0.044*$AG$4*$AF$9^2</f>
        <v>-2.673</v>
      </c>
      <c r="AG203" s="66"/>
      <c r="AH203" s="66"/>
      <c r="AI203" s="37" t="s">
        <v>161</v>
      </c>
      <c r="AJ203" s="37"/>
      <c r="AK203" s="37"/>
      <c r="AL203" s="37"/>
      <c r="AM203" s="37"/>
      <c r="AN203" s="37"/>
      <c r="AO203" s="37"/>
      <c r="AP203" s="37"/>
      <c r="AQ203" s="37"/>
      <c r="AR203" s="44"/>
      <c r="AS203" s="43"/>
      <c r="AT203" s="37"/>
      <c r="AU203" s="37"/>
      <c r="AV203" s="37"/>
      <c r="AW203" s="37"/>
      <c r="AX203" s="37"/>
      <c r="AY203" s="37"/>
      <c r="AZ203" s="37"/>
      <c r="BA203" s="44"/>
      <c r="BB203" s="42"/>
    </row>
    <row r="204" spans="2:54">
      <c r="B204" s="38"/>
      <c r="C204" s="71"/>
      <c r="D204" s="20"/>
      <c r="E204" s="27"/>
      <c r="F204" s="27" t="s">
        <v>14</v>
      </c>
      <c r="G204" s="20"/>
      <c r="H204" s="27"/>
      <c r="I204" s="27" t="s">
        <v>14</v>
      </c>
      <c r="J204" s="20"/>
      <c r="K204" s="27"/>
      <c r="L204" s="27" t="s">
        <v>14</v>
      </c>
      <c r="M204" s="20"/>
      <c r="N204" s="27"/>
      <c r="O204" s="27" t="s">
        <v>14</v>
      </c>
      <c r="P204" s="20"/>
      <c r="Q204" s="28"/>
      <c r="R204" s="27" t="str">
        <f>+O204</f>
        <v>L</v>
      </c>
      <c r="S204" s="20"/>
      <c r="T204" s="20"/>
      <c r="U204" s="20"/>
      <c r="V204" s="20" t="s">
        <v>129</v>
      </c>
      <c r="W204" s="20"/>
      <c r="X204" s="20"/>
      <c r="Y204" s="20"/>
      <c r="Z204" s="1"/>
      <c r="AA204" s="26" t="s">
        <v>130</v>
      </c>
      <c r="AB204" s="20"/>
      <c r="AC204" s="20"/>
      <c r="AD204" s="20"/>
      <c r="AE204" s="37"/>
      <c r="AF204" s="66">
        <f>-0.051*$AG$4*$AF$9^2</f>
        <v>-3.0982499999999997</v>
      </c>
      <c r="AG204" s="66"/>
      <c r="AH204" s="66"/>
      <c r="AI204" s="37" t="s">
        <v>161</v>
      </c>
      <c r="AJ204" s="37"/>
      <c r="AK204" s="37"/>
      <c r="AL204" s="37"/>
      <c r="AM204" s="37"/>
      <c r="AN204" s="37"/>
      <c r="AO204" s="37"/>
      <c r="AP204" s="37"/>
      <c r="AQ204" s="37"/>
      <c r="AR204" s="44"/>
      <c r="AS204" s="43"/>
      <c r="AT204" s="37"/>
      <c r="AU204" s="37"/>
      <c r="AV204" s="37"/>
      <c r="AW204" s="37"/>
      <c r="AX204" s="37"/>
      <c r="AY204" s="37"/>
      <c r="AZ204" s="37"/>
      <c r="BA204" s="44"/>
      <c r="BB204" s="42"/>
    </row>
    <row r="205" spans="2:54">
      <c r="B205" s="38"/>
      <c r="C205" s="71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 t="s">
        <v>12</v>
      </c>
      <c r="W205" s="20"/>
      <c r="X205" s="20"/>
      <c r="Y205" s="20"/>
      <c r="Z205" s="1"/>
      <c r="AA205" s="20" t="s">
        <v>131</v>
      </c>
      <c r="AB205" s="20"/>
      <c r="AC205" s="20"/>
      <c r="AD205" s="20"/>
      <c r="AE205" s="37"/>
      <c r="AF205" s="66">
        <f>1.218*$AG$4*$AF$9</f>
        <v>16.442999999999998</v>
      </c>
      <c r="AG205" s="66"/>
      <c r="AH205" s="66"/>
      <c r="AI205" s="37" t="s">
        <v>162</v>
      </c>
      <c r="AJ205" s="37"/>
      <c r="AK205" s="37"/>
      <c r="AL205" s="37"/>
      <c r="AM205" s="37"/>
      <c r="AN205" s="37"/>
      <c r="AO205" s="37"/>
      <c r="AP205" s="37"/>
      <c r="AQ205" s="37"/>
      <c r="AR205" s="44"/>
      <c r="AS205" s="43"/>
      <c r="AT205" s="37"/>
      <c r="AU205" s="37"/>
      <c r="AV205" s="37"/>
      <c r="AW205" s="37"/>
      <c r="AX205" s="37"/>
      <c r="AY205" s="37"/>
      <c r="AZ205" s="37"/>
      <c r="BA205" s="44"/>
      <c r="BB205" s="42"/>
    </row>
    <row r="206" spans="2:54">
      <c r="B206" s="38"/>
      <c r="C206" s="71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 t="s">
        <v>15</v>
      </c>
      <c r="W206" s="20"/>
      <c r="X206" s="20"/>
      <c r="Y206" s="20"/>
      <c r="Z206" s="1"/>
      <c r="AA206" s="26" t="s">
        <v>132</v>
      </c>
      <c r="AB206" s="20"/>
      <c r="AC206" s="20"/>
      <c r="AD206" s="20"/>
      <c r="AE206" s="37"/>
      <c r="AF206" s="66">
        <f>-0.62*$AG$4*$AF$9</f>
        <v>-8.3699999999999992</v>
      </c>
      <c r="AG206" s="66"/>
      <c r="AH206" s="66"/>
      <c r="AI206" s="37" t="s">
        <v>162</v>
      </c>
      <c r="AJ206" s="37"/>
      <c r="AK206" s="37"/>
      <c r="AL206" s="37"/>
      <c r="AM206" s="37"/>
      <c r="AN206" s="37"/>
      <c r="AO206" s="37"/>
      <c r="AP206" s="37"/>
      <c r="AQ206" s="37"/>
      <c r="AR206" s="44"/>
      <c r="AS206" s="43"/>
      <c r="AT206" s="37"/>
      <c r="AU206" s="37"/>
      <c r="AV206" s="37"/>
      <c r="AW206" s="37"/>
      <c r="AX206" s="37"/>
      <c r="AY206" s="37"/>
      <c r="AZ206" s="37"/>
      <c r="BA206" s="44"/>
      <c r="BB206" s="42"/>
    </row>
    <row r="207" spans="2:54">
      <c r="B207" s="38"/>
      <c r="C207" s="71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 t="s">
        <v>51</v>
      </c>
      <c r="W207" s="20"/>
      <c r="X207" s="20"/>
      <c r="Y207" s="20"/>
      <c r="Z207" s="1"/>
      <c r="AA207" s="20" t="s">
        <v>133</v>
      </c>
      <c r="AB207" s="20"/>
      <c r="AC207" s="20"/>
      <c r="AD207" s="20"/>
      <c r="AE207" s="37"/>
      <c r="AF207" s="66">
        <f>0.598*$AG$4*$AF$9</f>
        <v>8.0730000000000004</v>
      </c>
      <c r="AG207" s="66"/>
      <c r="AH207" s="66"/>
      <c r="AI207" s="37" t="s">
        <v>162</v>
      </c>
      <c r="AJ207" s="37"/>
      <c r="AK207" s="37"/>
      <c r="AL207" s="37"/>
      <c r="AM207" s="37"/>
      <c r="AN207" s="37"/>
      <c r="AO207" s="37"/>
      <c r="AP207" s="37"/>
      <c r="AQ207" s="37"/>
      <c r="AR207" s="44"/>
      <c r="AS207" s="43"/>
      <c r="AT207" s="37"/>
      <c r="AU207" s="37"/>
      <c r="AV207" s="37"/>
      <c r="AW207" s="37"/>
      <c r="AX207" s="37"/>
      <c r="AY207" s="37"/>
      <c r="AZ207" s="37"/>
      <c r="BA207" s="44"/>
      <c r="BB207" s="42"/>
    </row>
    <row r="208" spans="2:54">
      <c r="B208" s="38"/>
      <c r="C208" s="71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19" t="s">
        <v>157</v>
      </c>
      <c r="W208" s="20"/>
      <c r="X208" s="20"/>
      <c r="Y208" s="20"/>
      <c r="Z208" s="1"/>
      <c r="AA208" s="21" t="s">
        <v>208</v>
      </c>
      <c r="AB208" s="20"/>
      <c r="AC208" s="20"/>
      <c r="AD208" s="20"/>
      <c r="AE208" s="37"/>
      <c r="AF208" s="24"/>
      <c r="AG208" s="24"/>
      <c r="AH208" s="24"/>
      <c r="AI208" s="62">
        <f>0.555*$AG$4*$AF$9^4/($AM$5*1000*$AM$6/100000000*100)</f>
        <v>1.720650359122984E-3</v>
      </c>
      <c r="AJ208" s="62"/>
      <c r="AK208" s="62"/>
      <c r="AL208" s="37" t="s">
        <v>160</v>
      </c>
      <c r="AM208" s="56" t="s">
        <v>164</v>
      </c>
      <c r="AN208" s="62">
        <f>+AI208*1000</f>
        <v>1.720650359122984</v>
      </c>
      <c r="AO208" s="62"/>
      <c r="AP208" s="62"/>
      <c r="AQ208" s="37" t="s">
        <v>165</v>
      </c>
      <c r="AR208" s="44"/>
      <c r="AS208" s="43"/>
      <c r="AT208" s="37"/>
      <c r="AU208" s="37"/>
      <c r="AV208" s="37"/>
      <c r="AW208" s="37"/>
      <c r="AX208" s="37"/>
      <c r="AY208" s="37"/>
      <c r="AZ208" s="37"/>
      <c r="BA208" s="44"/>
      <c r="BB208" s="42"/>
    </row>
    <row r="209" spans="2:54">
      <c r="B209" s="38"/>
      <c r="C209" s="71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19" t="s">
        <v>158</v>
      </c>
      <c r="W209" s="20"/>
      <c r="X209" s="20"/>
      <c r="Y209" s="20"/>
      <c r="Z209" s="1"/>
      <c r="AA209" s="21" t="s">
        <v>209</v>
      </c>
      <c r="AB209" s="20"/>
      <c r="AC209" s="20"/>
      <c r="AD209" s="20"/>
      <c r="AE209" s="37"/>
      <c r="AF209" s="24"/>
      <c r="AG209" s="24"/>
      <c r="AH209" s="24"/>
      <c r="AI209" s="62">
        <f>0.42*$AG$4*$AF$9^4/($AM$5*1000*$AM$6/100000000*100)</f>
        <v>1.3021137852822582E-3</v>
      </c>
      <c r="AJ209" s="62"/>
      <c r="AK209" s="62"/>
      <c r="AL209" s="37" t="s">
        <v>160</v>
      </c>
      <c r="AM209" s="56" t="s">
        <v>164</v>
      </c>
      <c r="AN209" s="62">
        <f>+AI209*1000</f>
        <v>1.3021137852822582</v>
      </c>
      <c r="AO209" s="62"/>
      <c r="AP209" s="62"/>
      <c r="AQ209" s="37" t="s">
        <v>165</v>
      </c>
      <c r="AR209" s="44"/>
      <c r="AS209" s="43"/>
      <c r="AT209" s="37"/>
      <c r="AU209" s="37"/>
      <c r="AV209" s="37"/>
      <c r="AW209" s="37"/>
      <c r="AX209" s="37"/>
      <c r="AY209" s="37"/>
      <c r="AZ209" s="37"/>
      <c r="BA209" s="44"/>
      <c r="BB209" s="42"/>
    </row>
    <row r="210" spans="2:54">
      <c r="B210" s="38"/>
      <c r="C210" s="71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19" t="s">
        <v>166</v>
      </c>
      <c r="W210" s="20"/>
      <c r="X210" s="20"/>
      <c r="Y210" s="20"/>
      <c r="Z210" s="1"/>
      <c r="AA210" s="21" t="s">
        <v>210</v>
      </c>
      <c r="AB210" s="20"/>
      <c r="AC210" s="20"/>
      <c r="AD210" s="20"/>
      <c r="AE210" s="37"/>
      <c r="AF210" s="24"/>
      <c r="AG210" s="24"/>
      <c r="AH210" s="24"/>
      <c r="AI210" s="62">
        <f>-0.411*$AG$4*$AF$9^4/($AM$5*1000*$AM$6/100000000*100)</f>
        <v>-1.2742113470262096E-3</v>
      </c>
      <c r="AJ210" s="62"/>
      <c r="AK210" s="62"/>
      <c r="AL210" s="37" t="s">
        <v>160</v>
      </c>
      <c r="AM210" s="56" t="s">
        <v>164</v>
      </c>
      <c r="AN210" s="62">
        <f>+AI210*1000</f>
        <v>-1.2742113470262095</v>
      </c>
      <c r="AO210" s="62"/>
      <c r="AP210" s="62"/>
      <c r="AQ210" s="37" t="s">
        <v>165</v>
      </c>
      <c r="AR210" s="44"/>
      <c r="AS210" s="43"/>
      <c r="AT210" s="37"/>
      <c r="AU210" s="37"/>
      <c r="AV210" s="37"/>
      <c r="AW210" s="37"/>
      <c r="AX210" s="37"/>
      <c r="AY210" s="37"/>
      <c r="AZ210" s="37"/>
      <c r="BA210" s="44"/>
      <c r="BB210" s="42"/>
    </row>
    <row r="211" spans="2:54">
      <c r="B211" s="38"/>
      <c r="C211" s="71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19" t="s">
        <v>180</v>
      </c>
      <c r="W211" s="20"/>
      <c r="X211" s="20"/>
      <c r="Y211" s="20"/>
      <c r="Z211" s="1"/>
      <c r="AA211" s="21" t="s">
        <v>211</v>
      </c>
      <c r="AB211" s="20"/>
      <c r="AC211" s="20"/>
      <c r="AD211" s="20"/>
      <c r="AE211" s="37"/>
      <c r="AF211" s="24"/>
      <c r="AG211" s="24"/>
      <c r="AH211" s="24"/>
      <c r="AI211" s="62">
        <f>0.704*$AG$4*$AF$9^4/($AM$5*1000*$AM$6/100000000*100)</f>
        <v>2.1825907258064517E-3</v>
      </c>
      <c r="AJ211" s="62"/>
      <c r="AK211" s="62"/>
      <c r="AL211" s="37" t="s">
        <v>160</v>
      </c>
      <c r="AM211" s="56" t="s">
        <v>164</v>
      </c>
      <c r="AN211" s="62">
        <f>+AI211*1000</f>
        <v>2.1825907258064516</v>
      </c>
      <c r="AO211" s="62"/>
      <c r="AP211" s="62"/>
      <c r="AQ211" s="37" t="s">
        <v>165</v>
      </c>
      <c r="AR211" s="44"/>
      <c r="AS211" s="43"/>
      <c r="AT211" s="37"/>
      <c r="AU211" s="37"/>
      <c r="AV211" s="37"/>
      <c r="AW211" s="37"/>
      <c r="AX211" s="37"/>
      <c r="AY211" s="37"/>
      <c r="AZ211" s="37"/>
      <c r="BA211" s="44"/>
      <c r="BB211" s="42"/>
    </row>
    <row r="212" spans="2:54">
      <c r="B212" s="38"/>
      <c r="C212" s="71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19" t="s">
        <v>196</v>
      </c>
      <c r="W212" s="20"/>
      <c r="X212" s="20"/>
      <c r="Y212" s="20"/>
      <c r="Z212" s="1"/>
      <c r="AA212" s="21" t="s">
        <v>212</v>
      </c>
      <c r="AB212" s="20"/>
      <c r="AC212" s="20"/>
      <c r="AD212" s="20"/>
      <c r="AE212" s="37"/>
      <c r="AF212" s="24"/>
      <c r="AG212" s="24"/>
      <c r="AH212" s="24"/>
      <c r="AI212" s="62">
        <f>-0.321*$AG$4*$AF$9^4/($AM$5*1000*$AM$6/100000000*100)</f>
        <v>-9.9518696446572593E-4</v>
      </c>
      <c r="AJ212" s="62"/>
      <c r="AK212" s="62"/>
      <c r="AL212" s="37" t="s">
        <v>160</v>
      </c>
      <c r="AM212" s="56" t="s">
        <v>164</v>
      </c>
      <c r="AN212" s="62">
        <f>+AI212*1000</f>
        <v>-0.99518696446572597</v>
      </c>
      <c r="AO212" s="62"/>
      <c r="AP212" s="62"/>
      <c r="AQ212" s="37" t="s">
        <v>165</v>
      </c>
      <c r="AR212" s="44"/>
      <c r="AS212" s="43"/>
      <c r="AT212" s="37"/>
      <c r="AU212" s="37"/>
      <c r="AV212" s="37"/>
      <c r="AW212" s="37"/>
      <c r="AX212" s="37"/>
      <c r="AY212" s="37"/>
      <c r="AZ212" s="37"/>
      <c r="BA212" s="44"/>
      <c r="BB212" s="42"/>
    </row>
    <row r="213" spans="2:54">
      <c r="B213" s="38"/>
      <c r="C213" s="7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6"/>
      <c r="AA213" s="7"/>
      <c r="AB213" s="7"/>
      <c r="AC213" s="7"/>
      <c r="AD213" s="7"/>
      <c r="AE213" s="48"/>
      <c r="AF213" s="7"/>
      <c r="AG213" s="7"/>
      <c r="AH213" s="7"/>
      <c r="AI213" s="48"/>
      <c r="AJ213" s="48"/>
      <c r="AK213" s="48"/>
      <c r="AL213" s="48"/>
      <c r="AM213" s="48"/>
      <c r="AN213" s="48"/>
      <c r="AO213" s="48"/>
      <c r="AP213" s="48"/>
      <c r="AQ213" s="48"/>
      <c r="AR213" s="49"/>
      <c r="AS213" s="43"/>
      <c r="AT213" s="37"/>
      <c r="AU213" s="37"/>
      <c r="AV213" s="37"/>
      <c r="AW213" s="37"/>
      <c r="AX213" s="37"/>
      <c r="AY213" s="37"/>
      <c r="AZ213" s="37"/>
      <c r="BA213" s="44"/>
      <c r="BB213" s="42"/>
    </row>
    <row r="214" spans="2:54">
      <c r="B214" s="38"/>
      <c r="C214" s="71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13"/>
      <c r="AA214" s="14"/>
      <c r="AB214" s="14"/>
      <c r="AC214" s="14"/>
      <c r="AD214" s="14"/>
      <c r="AE214" s="40"/>
      <c r="AF214" s="14"/>
      <c r="AG214" s="14"/>
      <c r="AH214" s="14"/>
      <c r="AI214" s="40"/>
      <c r="AJ214" s="40"/>
      <c r="AK214" s="40"/>
      <c r="AL214" s="40"/>
      <c r="AM214" s="40"/>
      <c r="AN214" s="40"/>
      <c r="AO214" s="40"/>
      <c r="AP214" s="40"/>
      <c r="AQ214" s="40"/>
      <c r="AR214" s="41"/>
      <c r="AS214" s="43"/>
      <c r="AT214" s="37"/>
      <c r="AU214" s="37"/>
      <c r="AV214" s="37"/>
      <c r="AW214" s="37"/>
      <c r="AX214" s="37"/>
      <c r="AY214" s="37"/>
      <c r="AZ214" s="37"/>
      <c r="BA214" s="44"/>
      <c r="BB214" s="42"/>
    </row>
    <row r="215" spans="2:54">
      <c r="B215" s="38"/>
      <c r="C215" s="71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 t="s">
        <v>53</v>
      </c>
      <c r="W215" s="20"/>
      <c r="X215" s="20"/>
      <c r="Y215" s="20"/>
      <c r="Z215" s="1"/>
      <c r="AA215" s="20" t="s">
        <v>134</v>
      </c>
      <c r="AB215" s="20"/>
      <c r="AC215" s="20"/>
      <c r="AD215" s="20"/>
      <c r="AE215" s="37"/>
      <c r="AF215" s="66">
        <f>0.014*$AG$4*$AF$9^2</f>
        <v>0.85050000000000003</v>
      </c>
      <c r="AG215" s="66"/>
      <c r="AH215" s="66"/>
      <c r="AI215" s="37" t="s">
        <v>161</v>
      </c>
      <c r="AJ215" s="37"/>
      <c r="AK215" s="37"/>
      <c r="AL215" s="37"/>
      <c r="AM215" s="37"/>
      <c r="AN215" s="37"/>
      <c r="AO215" s="37"/>
      <c r="AP215" s="37"/>
      <c r="AQ215" s="37"/>
      <c r="AR215" s="44"/>
      <c r="AS215" s="43"/>
      <c r="AT215" s="37"/>
      <c r="AU215" s="37"/>
      <c r="AV215" s="37"/>
      <c r="AW215" s="37"/>
      <c r="AX215" s="37"/>
      <c r="AY215" s="37"/>
      <c r="AZ215" s="37"/>
      <c r="BA215" s="44"/>
      <c r="BB215" s="42"/>
    </row>
    <row r="216" spans="2:54" ht="12" thickBot="1">
      <c r="B216" s="38"/>
      <c r="C216" s="71"/>
      <c r="D216" s="20"/>
      <c r="E216" s="10"/>
      <c r="F216" s="10"/>
      <c r="G216" s="10"/>
      <c r="H216" s="10"/>
      <c r="I216" s="10"/>
      <c r="J216" s="10"/>
      <c r="K216" s="25"/>
      <c r="L216" s="25"/>
      <c r="M216" s="25"/>
      <c r="N216" s="10"/>
      <c r="O216" s="10"/>
      <c r="P216" s="10"/>
      <c r="Q216" s="16"/>
      <c r="R216" s="16"/>
      <c r="S216" s="16"/>
      <c r="T216" s="20"/>
      <c r="U216" s="20"/>
      <c r="V216" s="20" t="s">
        <v>47</v>
      </c>
      <c r="W216" s="20"/>
      <c r="X216" s="20"/>
      <c r="Y216" s="20"/>
      <c r="Z216" s="1"/>
      <c r="AA216" s="26" t="s">
        <v>135</v>
      </c>
      <c r="AB216" s="20"/>
      <c r="AC216" s="20"/>
      <c r="AD216" s="20"/>
      <c r="AE216" s="37"/>
      <c r="AF216" s="66">
        <f>-0.057*$AG$4*$AF$9^2</f>
        <v>-3.4627500000000002</v>
      </c>
      <c r="AG216" s="66"/>
      <c r="AH216" s="66"/>
      <c r="AI216" s="37" t="s">
        <v>161</v>
      </c>
      <c r="AJ216" s="37"/>
      <c r="AK216" s="37"/>
      <c r="AL216" s="37"/>
      <c r="AM216" s="37"/>
      <c r="AN216" s="37"/>
      <c r="AO216" s="37"/>
      <c r="AP216" s="37"/>
      <c r="AQ216" s="37"/>
      <c r="AR216" s="44"/>
      <c r="AS216" s="43"/>
      <c r="AT216" s="37"/>
      <c r="AU216" s="37"/>
      <c r="AV216" s="37"/>
      <c r="AW216" s="37"/>
      <c r="AX216" s="37"/>
      <c r="AY216" s="37"/>
      <c r="AZ216" s="37"/>
      <c r="BA216" s="44"/>
      <c r="BB216" s="42"/>
    </row>
    <row r="217" spans="2:54">
      <c r="B217" s="38"/>
      <c r="C217" s="71"/>
      <c r="D217" s="20"/>
      <c r="E217" s="20"/>
      <c r="F217" s="27">
        <v>1</v>
      </c>
      <c r="G217" s="20"/>
      <c r="H217" s="20"/>
      <c r="I217" s="27">
        <v>2</v>
      </c>
      <c r="J217" s="20"/>
      <c r="K217" s="20"/>
      <c r="L217" s="27">
        <v>3</v>
      </c>
      <c r="M217" s="20"/>
      <c r="N217" s="20"/>
      <c r="O217" s="27">
        <v>4</v>
      </c>
      <c r="P217" s="20"/>
      <c r="Q217" s="20"/>
      <c r="R217" s="27">
        <v>5</v>
      </c>
      <c r="S217" s="20"/>
      <c r="T217" s="20"/>
      <c r="U217" s="20"/>
      <c r="V217" s="20" t="s">
        <v>79</v>
      </c>
      <c r="W217" s="20"/>
      <c r="X217" s="20"/>
      <c r="Y217" s="20"/>
      <c r="Z217" s="1"/>
      <c r="AA217" s="26" t="s">
        <v>136</v>
      </c>
      <c r="AB217" s="20"/>
      <c r="AC217" s="20"/>
      <c r="AD217" s="20"/>
      <c r="AE217" s="37"/>
      <c r="AF217" s="66">
        <f>-0.035*$AG$4*$AF$9^2</f>
        <v>-2.1262500000000002</v>
      </c>
      <c r="AG217" s="66"/>
      <c r="AH217" s="66"/>
      <c r="AI217" s="37" t="s">
        <v>161</v>
      </c>
      <c r="AJ217" s="37"/>
      <c r="AK217" s="37"/>
      <c r="AL217" s="37"/>
      <c r="AM217" s="37"/>
      <c r="AN217" s="37"/>
      <c r="AO217" s="37"/>
      <c r="AP217" s="37"/>
      <c r="AQ217" s="37"/>
      <c r="AR217" s="44"/>
      <c r="AS217" s="43"/>
      <c r="AT217" s="37"/>
      <c r="AU217" s="37"/>
      <c r="AV217" s="37"/>
      <c r="AW217" s="37"/>
      <c r="AX217" s="37"/>
      <c r="AY217" s="37"/>
      <c r="AZ217" s="37"/>
      <c r="BA217" s="44"/>
      <c r="BB217" s="42"/>
    </row>
    <row r="218" spans="2:54">
      <c r="B218" s="38"/>
      <c r="C218" s="71"/>
      <c r="D218" s="67" t="s">
        <v>8</v>
      </c>
      <c r="E218" s="67"/>
      <c r="F218" s="27"/>
      <c r="G218" s="67" t="s">
        <v>10</v>
      </c>
      <c r="H218" s="67"/>
      <c r="I218" s="27"/>
      <c r="J218" s="67" t="s">
        <v>11</v>
      </c>
      <c r="K218" s="67"/>
      <c r="L218" s="27"/>
      <c r="M218" s="67" t="s">
        <v>32</v>
      </c>
      <c r="N218" s="67"/>
      <c r="O218" s="27"/>
      <c r="P218" s="67" t="s">
        <v>63</v>
      </c>
      <c r="Q218" s="67"/>
      <c r="R218" s="27"/>
      <c r="S218" s="67" t="s">
        <v>108</v>
      </c>
      <c r="T218" s="67"/>
      <c r="U218" s="20"/>
      <c r="V218" s="20" t="s">
        <v>129</v>
      </c>
      <c r="W218" s="20"/>
      <c r="X218" s="20"/>
      <c r="Y218" s="20"/>
      <c r="Z218" s="1"/>
      <c r="AA218" s="26" t="s">
        <v>73</v>
      </c>
      <c r="AB218" s="20"/>
      <c r="AC218" s="20"/>
      <c r="AD218" s="20"/>
      <c r="AE218" s="37"/>
      <c r="AF218" s="66">
        <f>-0.054*$AG$4*$AF$9^2</f>
        <v>-3.2805</v>
      </c>
      <c r="AG218" s="66"/>
      <c r="AH218" s="66"/>
      <c r="AI218" s="37" t="s">
        <v>161</v>
      </c>
      <c r="AJ218" s="37"/>
      <c r="AK218" s="37"/>
      <c r="AL218" s="37"/>
      <c r="AM218" s="37"/>
      <c r="AN218" s="37"/>
      <c r="AO218" s="37"/>
      <c r="AP218" s="37"/>
      <c r="AQ218" s="37"/>
      <c r="AR218" s="44"/>
      <c r="AS218" s="43"/>
      <c r="AT218" s="37"/>
      <c r="AU218" s="37"/>
      <c r="AV218" s="37"/>
      <c r="AW218" s="37"/>
      <c r="AX218" s="37"/>
      <c r="AY218" s="37"/>
      <c r="AZ218" s="37"/>
      <c r="BA218" s="44"/>
      <c r="BB218" s="42"/>
    </row>
    <row r="219" spans="2:54">
      <c r="B219" s="38"/>
      <c r="C219" s="71"/>
      <c r="D219" s="20"/>
      <c r="E219" s="27"/>
      <c r="F219" s="27" t="s">
        <v>14</v>
      </c>
      <c r="G219" s="20"/>
      <c r="H219" s="27"/>
      <c r="I219" s="27" t="s">
        <v>14</v>
      </c>
      <c r="J219" s="20"/>
      <c r="K219" s="27"/>
      <c r="L219" s="27" t="s">
        <v>14</v>
      </c>
      <c r="M219" s="20"/>
      <c r="N219" s="27"/>
      <c r="O219" s="27" t="s">
        <v>14</v>
      </c>
      <c r="P219" s="20"/>
      <c r="Q219" s="28"/>
      <c r="R219" s="27" t="str">
        <f>+O219</f>
        <v>L</v>
      </c>
      <c r="S219" s="20"/>
      <c r="T219" s="20"/>
      <c r="U219" s="20"/>
      <c r="V219" s="20" t="s">
        <v>81</v>
      </c>
      <c r="W219" s="20"/>
      <c r="X219" s="20"/>
      <c r="Y219" s="20"/>
      <c r="Z219" s="1"/>
      <c r="AA219" s="26" t="s">
        <v>137</v>
      </c>
      <c r="AB219" s="20"/>
      <c r="AC219" s="20"/>
      <c r="AD219" s="20"/>
      <c r="AE219" s="37"/>
      <c r="AF219" s="66">
        <f>-0.086*$AG$4*$AF$9</f>
        <v>-1.161</v>
      </c>
      <c r="AG219" s="66"/>
      <c r="AH219" s="66"/>
      <c r="AI219" s="37" t="s">
        <v>162</v>
      </c>
      <c r="AJ219" s="37"/>
      <c r="AK219" s="37"/>
      <c r="AL219" s="37"/>
      <c r="AM219" s="37"/>
      <c r="AN219" s="37"/>
      <c r="AO219" s="37"/>
      <c r="AP219" s="37"/>
      <c r="AQ219" s="37"/>
      <c r="AR219" s="44"/>
      <c r="AS219" s="43"/>
      <c r="AT219" s="37"/>
      <c r="AU219" s="37"/>
      <c r="AV219" s="37"/>
      <c r="AW219" s="37"/>
      <c r="AX219" s="37"/>
      <c r="AY219" s="37"/>
      <c r="AZ219" s="37"/>
      <c r="BA219" s="44"/>
      <c r="BB219" s="42"/>
    </row>
    <row r="220" spans="2:54">
      <c r="B220" s="38"/>
      <c r="C220" s="71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 t="s">
        <v>83</v>
      </c>
      <c r="W220" s="20"/>
      <c r="X220" s="20"/>
      <c r="Y220" s="20"/>
      <c r="Z220" s="1"/>
      <c r="AA220" s="20" t="s">
        <v>138</v>
      </c>
      <c r="AB220" s="20"/>
      <c r="AC220" s="20"/>
      <c r="AD220" s="20"/>
      <c r="AE220" s="37"/>
      <c r="AF220" s="66">
        <f>0.014*$AG$4*$AF$9</f>
        <v>0.189</v>
      </c>
      <c r="AG220" s="66"/>
      <c r="AH220" s="66"/>
      <c r="AI220" s="37" t="s">
        <v>162</v>
      </c>
      <c r="AJ220" s="37"/>
      <c r="AK220" s="37"/>
      <c r="AL220" s="37"/>
      <c r="AM220" s="37"/>
      <c r="AN220" s="37"/>
      <c r="AO220" s="37"/>
      <c r="AP220" s="37"/>
      <c r="AQ220" s="37"/>
      <c r="AR220" s="44"/>
      <c r="AS220" s="43"/>
      <c r="AT220" s="37"/>
      <c r="AU220" s="37"/>
      <c r="AV220" s="37"/>
      <c r="AW220" s="37"/>
      <c r="AX220" s="37"/>
      <c r="AY220" s="37"/>
      <c r="AZ220" s="37"/>
      <c r="BA220" s="44"/>
      <c r="BB220" s="42"/>
    </row>
    <row r="221" spans="2:54">
      <c r="B221" s="38"/>
      <c r="C221" s="71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 t="s">
        <v>85</v>
      </c>
      <c r="W221" s="20"/>
      <c r="X221" s="20"/>
      <c r="Y221" s="20"/>
      <c r="Z221" s="1"/>
      <c r="AA221" s="26" t="s">
        <v>139</v>
      </c>
      <c r="AB221" s="20"/>
      <c r="AC221" s="20"/>
      <c r="AD221" s="20"/>
      <c r="AE221" s="37"/>
      <c r="AF221" s="66">
        <f>-0.072*$AG$4*$AF$9</f>
        <v>-0.97199999999999986</v>
      </c>
      <c r="AG221" s="66"/>
      <c r="AH221" s="66"/>
      <c r="AI221" s="37" t="s">
        <v>162</v>
      </c>
      <c r="AJ221" s="37"/>
      <c r="AK221" s="37"/>
      <c r="AL221" s="37"/>
      <c r="AM221" s="37"/>
      <c r="AN221" s="37"/>
      <c r="AO221" s="37"/>
      <c r="AP221" s="37"/>
      <c r="AQ221" s="37"/>
      <c r="AR221" s="44"/>
      <c r="AS221" s="43"/>
      <c r="AT221" s="37"/>
      <c r="AU221" s="37"/>
      <c r="AV221" s="37"/>
      <c r="AW221" s="37"/>
      <c r="AX221" s="37"/>
      <c r="AY221" s="37"/>
      <c r="AZ221" s="37"/>
      <c r="BA221" s="44"/>
      <c r="BB221" s="42"/>
    </row>
    <row r="222" spans="2:54">
      <c r="B222" s="38"/>
      <c r="C222" s="71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6"/>
      <c r="AA222" s="7"/>
      <c r="AB222" s="7"/>
      <c r="AC222" s="7"/>
      <c r="AD222" s="7"/>
      <c r="AE222" s="48"/>
      <c r="AF222" s="7"/>
      <c r="AG222" s="7"/>
      <c r="AH222" s="7"/>
      <c r="AI222" s="48"/>
      <c r="AJ222" s="48"/>
      <c r="AK222" s="48"/>
      <c r="AL222" s="48"/>
      <c r="AM222" s="48"/>
      <c r="AN222" s="48"/>
      <c r="AO222" s="48"/>
      <c r="AP222" s="48"/>
      <c r="AQ222" s="48"/>
      <c r="AR222" s="49"/>
      <c r="AS222" s="43"/>
      <c r="AT222" s="37"/>
      <c r="AU222" s="37"/>
      <c r="AV222" s="37"/>
      <c r="AW222" s="37"/>
      <c r="AX222" s="37"/>
      <c r="AY222" s="37"/>
      <c r="AZ222" s="37"/>
      <c r="BA222" s="44"/>
      <c r="BB222" s="42"/>
    </row>
    <row r="223" spans="2:54">
      <c r="B223" s="38"/>
      <c r="C223" s="71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3"/>
      <c r="AA223" s="14"/>
      <c r="AB223" s="14"/>
      <c r="AC223" s="14"/>
      <c r="AD223" s="14"/>
      <c r="AE223" s="40"/>
      <c r="AF223" s="14"/>
      <c r="AG223" s="14"/>
      <c r="AH223" s="14"/>
      <c r="AI223" s="40"/>
      <c r="AJ223" s="40"/>
      <c r="AK223" s="40"/>
      <c r="AL223" s="40"/>
      <c r="AM223" s="40"/>
      <c r="AN223" s="40"/>
      <c r="AO223" s="40"/>
      <c r="AP223" s="40"/>
      <c r="AQ223" s="40"/>
      <c r="AR223" s="41"/>
      <c r="AS223" s="43"/>
      <c r="AT223" s="37"/>
      <c r="AU223" s="37"/>
      <c r="AV223" s="37"/>
      <c r="AW223" s="37"/>
      <c r="AX223" s="37"/>
      <c r="AY223" s="37"/>
      <c r="AZ223" s="37"/>
      <c r="BA223" s="44"/>
      <c r="BB223" s="42"/>
    </row>
    <row r="224" spans="2:54">
      <c r="B224" s="38"/>
      <c r="C224" s="71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 t="s">
        <v>19</v>
      </c>
      <c r="W224" s="20"/>
      <c r="X224" s="20"/>
      <c r="Y224" s="20"/>
      <c r="Z224" s="1"/>
      <c r="AA224" s="26" t="s">
        <v>136</v>
      </c>
      <c r="AB224" s="20"/>
      <c r="AC224" s="20"/>
      <c r="AD224" s="20"/>
      <c r="AE224" s="37"/>
      <c r="AF224" s="66">
        <f>-0.035*$AG$4*$AF$9^2</f>
        <v>-2.1262500000000002</v>
      </c>
      <c r="AG224" s="66"/>
      <c r="AH224" s="66"/>
      <c r="AI224" s="37" t="s">
        <v>161</v>
      </c>
      <c r="AJ224" s="37"/>
      <c r="AK224" s="37"/>
      <c r="AL224" s="37"/>
      <c r="AM224" s="37"/>
      <c r="AN224" s="37"/>
      <c r="AO224" s="37"/>
      <c r="AP224" s="37"/>
      <c r="AQ224" s="37"/>
      <c r="AR224" s="44"/>
      <c r="AS224" s="43"/>
      <c r="AT224" s="37"/>
      <c r="AU224" s="37"/>
      <c r="AV224" s="37"/>
      <c r="AW224" s="37"/>
      <c r="AX224" s="37"/>
      <c r="AY224" s="37"/>
      <c r="AZ224" s="37"/>
      <c r="BA224" s="44"/>
      <c r="BB224" s="42"/>
    </row>
    <row r="225" spans="2:54" ht="12" thickBot="1">
      <c r="B225" s="38"/>
      <c r="C225" s="71"/>
      <c r="D225" s="20"/>
      <c r="E225" s="10"/>
      <c r="F225" s="10"/>
      <c r="G225" s="10"/>
      <c r="H225" s="25"/>
      <c r="I225" s="25"/>
      <c r="J225" s="33"/>
      <c r="K225" s="25"/>
      <c r="L225" s="25"/>
      <c r="M225" s="25"/>
      <c r="N225" s="10"/>
      <c r="O225" s="10"/>
      <c r="P225" s="10"/>
      <c r="Q225" s="16"/>
      <c r="R225" s="16"/>
      <c r="S225" s="16"/>
      <c r="T225" s="20"/>
      <c r="U225" s="20"/>
      <c r="V225" s="20" t="s">
        <v>92</v>
      </c>
      <c r="W225" s="20"/>
      <c r="X225" s="20"/>
      <c r="Y225" s="20"/>
      <c r="Z225" s="1"/>
      <c r="AA225" s="26" t="s">
        <v>140</v>
      </c>
      <c r="AB225" s="20"/>
      <c r="AC225" s="20"/>
      <c r="AD225" s="20"/>
      <c r="AE225" s="37"/>
      <c r="AF225" s="66">
        <f>-0.111*$AG$4*$AF$9^2</f>
        <v>-6.7432500000000006</v>
      </c>
      <c r="AG225" s="66"/>
      <c r="AH225" s="66"/>
      <c r="AI225" s="37" t="s">
        <v>161</v>
      </c>
      <c r="AJ225" s="37"/>
      <c r="AK225" s="37"/>
      <c r="AL225" s="37"/>
      <c r="AM225" s="37"/>
      <c r="AN225" s="37"/>
      <c r="AO225" s="37"/>
      <c r="AP225" s="37"/>
      <c r="AQ225" s="37"/>
      <c r="AR225" s="44"/>
      <c r="AS225" s="43"/>
      <c r="AT225" s="37"/>
      <c r="AU225" s="37"/>
      <c r="AV225" s="37"/>
      <c r="AW225" s="37"/>
      <c r="AX225" s="37"/>
      <c r="AY225" s="37"/>
      <c r="AZ225" s="37"/>
      <c r="BA225" s="44"/>
      <c r="BB225" s="42"/>
    </row>
    <row r="226" spans="2:54">
      <c r="B226" s="38"/>
      <c r="C226" s="71"/>
      <c r="D226" s="20"/>
      <c r="E226" s="20"/>
      <c r="F226" s="27">
        <v>1</v>
      </c>
      <c r="G226" s="20"/>
      <c r="H226" s="20"/>
      <c r="I226" s="27">
        <v>2</v>
      </c>
      <c r="J226" s="20"/>
      <c r="K226" s="20"/>
      <c r="L226" s="27">
        <v>3</v>
      </c>
      <c r="M226" s="20"/>
      <c r="N226" s="20"/>
      <c r="O226" s="27">
        <v>4</v>
      </c>
      <c r="P226" s="20"/>
      <c r="Q226" s="20"/>
      <c r="R226" s="27">
        <v>5</v>
      </c>
      <c r="S226" s="20"/>
      <c r="T226" s="20"/>
      <c r="U226" s="20"/>
      <c r="V226" s="20" t="s">
        <v>79</v>
      </c>
      <c r="W226" s="20"/>
      <c r="X226" s="20"/>
      <c r="Y226" s="20"/>
      <c r="Z226" s="1"/>
      <c r="AA226" s="26" t="s">
        <v>141</v>
      </c>
      <c r="AB226" s="20"/>
      <c r="AC226" s="20"/>
      <c r="AD226" s="20"/>
      <c r="AE226" s="37"/>
      <c r="AF226" s="66">
        <f>-0.02*$AG$4*$AF$9^2</f>
        <v>-1.2149999999999999</v>
      </c>
      <c r="AG226" s="66"/>
      <c r="AH226" s="66"/>
      <c r="AI226" s="37" t="s">
        <v>161</v>
      </c>
      <c r="AJ226" s="37"/>
      <c r="AK226" s="37"/>
      <c r="AL226" s="37"/>
      <c r="AM226" s="37"/>
      <c r="AN226" s="37"/>
      <c r="AO226" s="37"/>
      <c r="AP226" s="37"/>
      <c r="AQ226" s="37"/>
      <c r="AR226" s="44"/>
      <c r="AS226" s="43"/>
      <c r="AT226" s="37"/>
      <c r="AU226" s="37"/>
      <c r="AV226" s="37"/>
      <c r="AW226" s="37"/>
      <c r="AX226" s="37"/>
      <c r="AY226" s="37"/>
      <c r="AZ226" s="37"/>
      <c r="BA226" s="44"/>
      <c r="BB226" s="42"/>
    </row>
    <row r="227" spans="2:54">
      <c r="B227" s="38"/>
      <c r="C227" s="71"/>
      <c r="D227" s="67" t="s">
        <v>8</v>
      </c>
      <c r="E227" s="67"/>
      <c r="F227" s="27"/>
      <c r="G227" s="67" t="s">
        <v>10</v>
      </c>
      <c r="H227" s="67"/>
      <c r="I227" s="27"/>
      <c r="J227" s="67" t="s">
        <v>11</v>
      </c>
      <c r="K227" s="67"/>
      <c r="L227" s="27"/>
      <c r="M227" s="67" t="s">
        <v>32</v>
      </c>
      <c r="N227" s="67"/>
      <c r="O227" s="27"/>
      <c r="P227" s="67" t="s">
        <v>63</v>
      </c>
      <c r="Q227" s="67"/>
      <c r="R227" s="27"/>
      <c r="S227" s="67" t="s">
        <v>108</v>
      </c>
      <c r="T227" s="67"/>
      <c r="U227" s="20"/>
      <c r="V227" s="20" t="s">
        <v>129</v>
      </c>
      <c r="W227" s="20"/>
      <c r="X227" s="20"/>
      <c r="Y227" s="20"/>
      <c r="Z227" s="1"/>
      <c r="AA227" s="26" t="s">
        <v>135</v>
      </c>
      <c r="AB227" s="20"/>
      <c r="AC227" s="20"/>
      <c r="AD227" s="20"/>
      <c r="AE227" s="37"/>
      <c r="AF227" s="66">
        <f>-0.057*$AG$4*$AF$9^2</f>
        <v>-3.4627500000000002</v>
      </c>
      <c r="AG227" s="66"/>
      <c r="AH227" s="66"/>
      <c r="AI227" s="37" t="s">
        <v>161</v>
      </c>
      <c r="AJ227" s="37"/>
      <c r="AK227" s="37"/>
      <c r="AL227" s="37"/>
      <c r="AM227" s="37"/>
      <c r="AN227" s="37"/>
      <c r="AO227" s="37"/>
      <c r="AP227" s="37"/>
      <c r="AQ227" s="37"/>
      <c r="AR227" s="44"/>
      <c r="AS227" s="43"/>
      <c r="AT227" s="37"/>
      <c r="AU227" s="37"/>
      <c r="AV227" s="37"/>
      <c r="AW227" s="37"/>
      <c r="AX227" s="37"/>
      <c r="AY227" s="37"/>
      <c r="AZ227" s="37"/>
      <c r="BA227" s="44"/>
      <c r="BB227" s="42"/>
    </row>
    <row r="228" spans="2:54">
      <c r="B228" s="38"/>
      <c r="C228" s="71"/>
      <c r="D228" s="20"/>
      <c r="E228" s="27"/>
      <c r="F228" s="27" t="s">
        <v>14</v>
      </c>
      <c r="G228" s="20"/>
      <c r="H228" s="27"/>
      <c r="I228" s="27" t="s">
        <v>14</v>
      </c>
      <c r="J228" s="20"/>
      <c r="K228" s="27"/>
      <c r="L228" s="27" t="s">
        <v>14</v>
      </c>
      <c r="M228" s="20"/>
      <c r="N228" s="27"/>
      <c r="O228" s="27" t="s">
        <v>14</v>
      </c>
      <c r="P228" s="20"/>
      <c r="Q228" s="28"/>
      <c r="R228" s="27" t="str">
        <f>+O228</f>
        <v>L</v>
      </c>
      <c r="S228" s="20"/>
      <c r="T228" s="20"/>
      <c r="U228" s="20"/>
      <c r="V228" s="20" t="s">
        <v>93</v>
      </c>
      <c r="W228" s="20"/>
      <c r="X228" s="20"/>
      <c r="Y228" s="20"/>
      <c r="Z228" s="1"/>
      <c r="AA228" s="20" t="s">
        <v>142</v>
      </c>
      <c r="AB228" s="20"/>
      <c r="AC228" s="20"/>
      <c r="AD228" s="20"/>
      <c r="AE228" s="37"/>
      <c r="AF228" s="66">
        <f>1.167*$AG$4*$AF$9</f>
        <v>15.754500000000002</v>
      </c>
      <c r="AG228" s="66"/>
      <c r="AH228" s="66"/>
      <c r="AI228" s="37" t="s">
        <v>162</v>
      </c>
      <c r="AJ228" s="37"/>
      <c r="AK228" s="37"/>
      <c r="AL228" s="37"/>
      <c r="AM228" s="37"/>
      <c r="AN228" s="37"/>
      <c r="AO228" s="37"/>
      <c r="AP228" s="37"/>
      <c r="AQ228" s="37"/>
      <c r="AR228" s="44"/>
      <c r="AS228" s="43"/>
      <c r="AT228" s="37"/>
      <c r="AU228" s="37"/>
      <c r="AV228" s="37"/>
      <c r="AW228" s="37"/>
      <c r="AX228" s="37"/>
      <c r="AY228" s="37"/>
      <c r="AZ228" s="37"/>
      <c r="BA228" s="44"/>
      <c r="BB228" s="42"/>
    </row>
    <row r="229" spans="2:54">
      <c r="B229" s="38"/>
      <c r="C229" s="71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 t="s">
        <v>143</v>
      </c>
      <c r="W229" s="20"/>
      <c r="X229" s="20"/>
      <c r="Y229" s="20"/>
      <c r="Z229" s="1"/>
      <c r="AA229" s="26" t="s">
        <v>144</v>
      </c>
      <c r="AB229" s="20"/>
      <c r="AC229" s="20"/>
      <c r="AD229" s="20"/>
      <c r="AE229" s="37"/>
      <c r="AF229" s="66">
        <f>-0.576*$AG$4*$AF$9</f>
        <v>-7.7759999999999989</v>
      </c>
      <c r="AG229" s="66"/>
      <c r="AH229" s="66"/>
      <c r="AI229" s="37" t="s">
        <v>162</v>
      </c>
      <c r="AJ229" s="37"/>
      <c r="AK229" s="37"/>
      <c r="AL229" s="37"/>
      <c r="AM229" s="37"/>
      <c r="AN229" s="37"/>
      <c r="AO229" s="37"/>
      <c r="AP229" s="37"/>
      <c r="AQ229" s="37"/>
      <c r="AR229" s="44"/>
      <c r="AS229" s="43"/>
      <c r="AT229" s="37"/>
      <c r="AU229" s="37"/>
      <c r="AV229" s="37"/>
      <c r="AW229" s="37"/>
      <c r="AX229" s="37"/>
      <c r="AY229" s="37"/>
      <c r="AZ229" s="37"/>
      <c r="BA229" s="44"/>
      <c r="BB229" s="42"/>
    </row>
    <row r="230" spans="2:54">
      <c r="B230" s="38"/>
      <c r="C230" s="71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 t="s">
        <v>145</v>
      </c>
      <c r="W230" s="20"/>
      <c r="X230" s="20"/>
      <c r="Y230" s="20"/>
      <c r="Z230" s="1"/>
      <c r="AA230" s="20" t="s">
        <v>146</v>
      </c>
      <c r="AB230" s="20"/>
      <c r="AC230" s="20"/>
      <c r="AD230" s="20"/>
      <c r="AE230" s="37"/>
      <c r="AF230" s="66">
        <f>0.591*$AG$4*$AF$9</f>
        <v>7.9784999999999995</v>
      </c>
      <c r="AG230" s="66"/>
      <c r="AH230" s="66"/>
      <c r="AI230" s="37" t="s">
        <v>162</v>
      </c>
      <c r="AJ230" s="37"/>
      <c r="AK230" s="37"/>
      <c r="AL230" s="37"/>
      <c r="AM230" s="37"/>
      <c r="AN230" s="37"/>
      <c r="AO230" s="37"/>
      <c r="AP230" s="37"/>
      <c r="AQ230" s="37"/>
      <c r="AR230" s="44"/>
      <c r="AS230" s="43"/>
      <c r="AT230" s="37"/>
      <c r="AU230" s="37"/>
      <c r="AV230" s="37"/>
      <c r="AW230" s="37"/>
      <c r="AX230" s="37"/>
      <c r="AY230" s="37"/>
      <c r="AZ230" s="37"/>
      <c r="BA230" s="44"/>
      <c r="BB230" s="42"/>
    </row>
    <row r="231" spans="2:54">
      <c r="B231" s="38"/>
      <c r="C231" s="71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19" t="s">
        <v>157</v>
      </c>
      <c r="W231" s="20"/>
      <c r="X231" s="20"/>
      <c r="Y231" s="20"/>
      <c r="Z231" s="1"/>
      <c r="AA231" s="21" t="s">
        <v>213</v>
      </c>
      <c r="AB231" s="20"/>
      <c r="AC231" s="20"/>
      <c r="AD231" s="20"/>
      <c r="AE231" s="37"/>
      <c r="AF231" s="24"/>
      <c r="AG231" s="24"/>
      <c r="AH231" s="24"/>
      <c r="AI231" s="62">
        <f>-0.217*$AG$4*$AF$9^4/($AM$5*1000*$AM$6/100000000*100)</f>
        <v>-6.7275878906249999E-4</v>
      </c>
      <c r="AJ231" s="62"/>
      <c r="AK231" s="62"/>
      <c r="AL231" s="37" t="s">
        <v>160</v>
      </c>
      <c r="AM231" s="56" t="s">
        <v>164</v>
      </c>
      <c r="AN231" s="62">
        <f>+AI231*1000</f>
        <v>-0.67275878906249997</v>
      </c>
      <c r="AO231" s="62"/>
      <c r="AP231" s="62"/>
      <c r="AQ231" s="37" t="s">
        <v>165</v>
      </c>
      <c r="AR231" s="44"/>
      <c r="AS231" s="43"/>
      <c r="AT231" s="37"/>
      <c r="AU231" s="37"/>
      <c r="AV231" s="37"/>
      <c r="AW231" s="37"/>
      <c r="AX231" s="37"/>
      <c r="AY231" s="37"/>
      <c r="AZ231" s="37"/>
      <c r="BA231" s="44"/>
      <c r="BB231" s="42"/>
    </row>
    <row r="232" spans="2:54">
      <c r="B232" s="38"/>
      <c r="C232" s="71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19" t="s">
        <v>158</v>
      </c>
      <c r="W232" s="20"/>
      <c r="X232" s="20"/>
      <c r="Y232" s="20"/>
      <c r="Z232" s="1"/>
      <c r="AA232" s="21" t="s">
        <v>214</v>
      </c>
      <c r="AB232" s="20"/>
      <c r="AC232" s="20"/>
      <c r="AD232" s="20"/>
      <c r="AE232" s="37"/>
      <c r="AF232" s="24"/>
      <c r="AG232" s="24"/>
      <c r="AH232" s="24"/>
      <c r="AI232" s="62">
        <f>0.39*$AG$4*$AF$9^4/($AM$5*1000*$AM$6/100000000*100)</f>
        <v>1.2091056577620968E-3</v>
      </c>
      <c r="AJ232" s="62"/>
      <c r="AK232" s="62"/>
      <c r="AL232" s="37" t="s">
        <v>160</v>
      </c>
      <c r="AM232" s="56" t="s">
        <v>164</v>
      </c>
      <c r="AN232" s="62">
        <f>+AI232*1000</f>
        <v>1.2091056577620969</v>
      </c>
      <c r="AO232" s="62"/>
      <c r="AP232" s="62"/>
      <c r="AQ232" s="37" t="s">
        <v>165</v>
      </c>
      <c r="AR232" s="44"/>
      <c r="AS232" s="43"/>
      <c r="AT232" s="37"/>
      <c r="AU232" s="37"/>
      <c r="AV232" s="37"/>
      <c r="AW232" s="37"/>
      <c r="AX232" s="37"/>
      <c r="AY232" s="37"/>
      <c r="AZ232" s="37"/>
      <c r="BA232" s="44"/>
      <c r="BB232" s="42"/>
    </row>
    <row r="233" spans="2:54">
      <c r="B233" s="38"/>
      <c r="C233" s="71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19" t="s">
        <v>166</v>
      </c>
      <c r="W233" s="20"/>
      <c r="X233" s="20"/>
      <c r="Y233" s="20"/>
      <c r="Z233" s="1"/>
      <c r="AA233" s="21" t="s">
        <v>215</v>
      </c>
      <c r="AB233" s="20"/>
      <c r="AC233" s="20"/>
      <c r="AD233" s="20"/>
      <c r="AE233" s="37"/>
      <c r="AF233" s="24"/>
      <c r="AG233" s="24"/>
      <c r="AH233" s="24"/>
      <c r="AI233" s="62">
        <f>0.48*$AG$4*$AF$9^4/($AM$5*1000*$AM$6/100000000*100)</f>
        <v>1.4881300403225806E-3</v>
      </c>
      <c r="AJ233" s="62"/>
      <c r="AK233" s="62"/>
      <c r="AL233" s="37" t="s">
        <v>160</v>
      </c>
      <c r="AM233" s="56" t="s">
        <v>164</v>
      </c>
      <c r="AN233" s="62">
        <f>+AI233*1000</f>
        <v>1.4881300403225806</v>
      </c>
      <c r="AO233" s="62"/>
      <c r="AP233" s="62"/>
      <c r="AQ233" s="37" t="s">
        <v>165</v>
      </c>
      <c r="AR233" s="44"/>
      <c r="AS233" s="43"/>
      <c r="AT233" s="37"/>
      <c r="AU233" s="37"/>
      <c r="AV233" s="37"/>
      <c r="AW233" s="37"/>
      <c r="AX233" s="37"/>
      <c r="AY233" s="37"/>
      <c r="AZ233" s="37"/>
      <c r="BA233" s="44"/>
      <c r="BB233" s="42"/>
    </row>
    <row r="234" spans="2:54">
      <c r="B234" s="38"/>
      <c r="C234" s="71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19" t="s">
        <v>180</v>
      </c>
      <c r="W234" s="20"/>
      <c r="X234" s="20"/>
      <c r="Y234" s="20"/>
      <c r="Z234" s="1"/>
      <c r="AA234" s="21" t="s">
        <v>216</v>
      </c>
      <c r="AB234" s="20"/>
      <c r="AC234" s="20"/>
      <c r="AD234" s="20"/>
      <c r="AE234" s="37"/>
      <c r="AF234" s="24"/>
      <c r="AG234" s="24"/>
      <c r="AH234" s="24"/>
      <c r="AI234" s="62">
        <f>-0.486*$AG$4*$AF$9^4/($AM$5*1000*$AM$6/100000000*100)</f>
        <v>-1.5067316658266129E-3</v>
      </c>
      <c r="AJ234" s="62"/>
      <c r="AK234" s="62"/>
      <c r="AL234" s="37" t="s">
        <v>160</v>
      </c>
      <c r="AM234" s="56" t="s">
        <v>164</v>
      </c>
      <c r="AN234" s="62">
        <f>+AI234*1000</f>
        <v>-1.506731665826613</v>
      </c>
      <c r="AO234" s="62"/>
      <c r="AP234" s="62"/>
      <c r="AQ234" s="37" t="s">
        <v>165</v>
      </c>
      <c r="AR234" s="44"/>
      <c r="AS234" s="43"/>
      <c r="AT234" s="37"/>
      <c r="AU234" s="37"/>
      <c r="AV234" s="37"/>
      <c r="AW234" s="37"/>
      <c r="AX234" s="37"/>
      <c r="AY234" s="37"/>
      <c r="AZ234" s="37"/>
      <c r="BA234" s="44"/>
      <c r="BB234" s="42"/>
    </row>
    <row r="235" spans="2:54">
      <c r="B235" s="38"/>
      <c r="C235" s="71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19" t="s">
        <v>196</v>
      </c>
      <c r="W235" s="20"/>
      <c r="X235" s="20"/>
      <c r="Y235" s="20"/>
      <c r="Z235" s="1"/>
      <c r="AA235" s="21" t="s">
        <v>217</v>
      </c>
      <c r="AB235" s="20"/>
      <c r="AC235" s="20"/>
      <c r="AD235" s="20"/>
      <c r="AE235" s="37"/>
      <c r="AF235" s="24"/>
      <c r="AG235" s="24"/>
      <c r="AH235" s="24"/>
      <c r="AI235" s="62">
        <f>0.943*$AG$4*$AF$9^4/($AM$5*1000*$AM$6/100000000*100)</f>
        <v>2.9235554750504031E-3</v>
      </c>
      <c r="AJ235" s="62"/>
      <c r="AK235" s="62"/>
      <c r="AL235" s="37" t="s">
        <v>160</v>
      </c>
      <c r="AM235" s="56" t="s">
        <v>164</v>
      </c>
      <c r="AN235" s="62">
        <f>+AI235*1000</f>
        <v>2.9235554750504029</v>
      </c>
      <c r="AO235" s="62"/>
      <c r="AP235" s="62"/>
      <c r="AQ235" s="37" t="s">
        <v>165</v>
      </c>
      <c r="AR235" s="44"/>
      <c r="AS235" s="43"/>
      <c r="AT235" s="37"/>
      <c r="AU235" s="37"/>
      <c r="AV235" s="37"/>
      <c r="AW235" s="37"/>
      <c r="AX235" s="37"/>
      <c r="AY235" s="37"/>
      <c r="AZ235" s="37"/>
      <c r="BA235" s="44"/>
      <c r="BB235" s="42"/>
    </row>
    <row r="236" spans="2:54">
      <c r="B236" s="38"/>
      <c r="C236" s="7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6"/>
      <c r="AA236" s="7"/>
      <c r="AB236" s="7"/>
      <c r="AC236" s="7"/>
      <c r="AD236" s="7"/>
      <c r="AE236" s="48"/>
      <c r="AF236" s="7"/>
      <c r="AG236" s="7"/>
      <c r="AH236" s="7"/>
      <c r="AI236" s="48"/>
      <c r="AJ236" s="48"/>
      <c r="AK236" s="48"/>
      <c r="AL236" s="48"/>
      <c r="AM236" s="48"/>
      <c r="AN236" s="48"/>
      <c r="AO236" s="48"/>
      <c r="AP236" s="48"/>
      <c r="AQ236" s="48"/>
      <c r="AR236" s="49"/>
      <c r="AS236" s="43"/>
      <c r="AT236" s="37"/>
      <c r="AU236" s="37"/>
      <c r="AV236" s="37"/>
      <c r="AW236" s="37"/>
      <c r="AX236" s="37"/>
      <c r="AY236" s="37"/>
      <c r="AZ236" s="37"/>
      <c r="BA236" s="44"/>
      <c r="BB236" s="42"/>
    </row>
    <row r="237" spans="2:54">
      <c r="B237" s="38"/>
      <c r="C237" s="71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1"/>
      <c r="AA237" s="20"/>
      <c r="AB237" s="20"/>
      <c r="AC237" s="20"/>
      <c r="AD237" s="20"/>
      <c r="AE237" s="37"/>
      <c r="AF237" s="20"/>
      <c r="AG237" s="20"/>
      <c r="AH237" s="20"/>
      <c r="AI237" s="37"/>
      <c r="AJ237" s="37"/>
      <c r="AK237" s="37"/>
      <c r="AL237" s="37"/>
      <c r="AM237" s="37"/>
      <c r="AN237" s="37"/>
      <c r="AO237" s="37"/>
      <c r="AP237" s="37"/>
      <c r="AQ237" s="37"/>
      <c r="AR237" s="44"/>
      <c r="AS237" s="43"/>
      <c r="AT237" s="37"/>
      <c r="AU237" s="37"/>
      <c r="AV237" s="37"/>
      <c r="AW237" s="37"/>
      <c r="AX237" s="37"/>
      <c r="AY237" s="37"/>
      <c r="AZ237" s="37"/>
      <c r="BA237" s="44"/>
      <c r="BB237" s="42"/>
    </row>
    <row r="238" spans="2:54">
      <c r="B238" s="38"/>
      <c r="C238" s="71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 t="s">
        <v>19</v>
      </c>
      <c r="W238" s="20"/>
      <c r="X238" s="20"/>
      <c r="Y238" s="20"/>
      <c r="Z238" s="1"/>
      <c r="AA238" s="26" t="s">
        <v>62</v>
      </c>
      <c r="AB238" s="20"/>
      <c r="AC238" s="20"/>
      <c r="AD238" s="20"/>
      <c r="AE238" s="37"/>
      <c r="AF238" s="66">
        <f>-0.071*$AG$4*$AF$9^2</f>
        <v>-4.3132499999999991</v>
      </c>
      <c r="AG238" s="66"/>
      <c r="AH238" s="66"/>
      <c r="AI238" s="37" t="s">
        <v>161</v>
      </c>
      <c r="AJ238" s="37"/>
      <c r="AK238" s="37"/>
      <c r="AL238" s="37"/>
      <c r="AM238" s="37"/>
      <c r="AN238" s="37"/>
      <c r="AO238" s="37"/>
      <c r="AP238" s="37"/>
      <c r="AQ238" s="37"/>
      <c r="AR238" s="44"/>
      <c r="AS238" s="43"/>
      <c r="AT238" s="37"/>
      <c r="AU238" s="37"/>
      <c r="AV238" s="37"/>
      <c r="AW238" s="37"/>
      <c r="AX238" s="37"/>
      <c r="AY238" s="37"/>
      <c r="AZ238" s="37"/>
      <c r="BA238" s="44"/>
      <c r="BB238" s="42"/>
    </row>
    <row r="239" spans="2:54" ht="12" thickBot="1">
      <c r="B239" s="38"/>
      <c r="C239" s="71"/>
      <c r="D239" s="20"/>
      <c r="E239" s="25"/>
      <c r="F239" s="25"/>
      <c r="G239" s="33"/>
      <c r="H239" s="10"/>
      <c r="I239" s="10"/>
      <c r="J239" s="10"/>
      <c r="K239" s="10"/>
      <c r="L239" s="10"/>
      <c r="M239" s="10"/>
      <c r="N239" s="25"/>
      <c r="O239" s="25"/>
      <c r="P239" s="25"/>
      <c r="Q239" s="10"/>
      <c r="R239" s="10"/>
      <c r="S239" s="10"/>
      <c r="T239" s="20"/>
      <c r="U239" s="20"/>
      <c r="V239" s="20" t="s">
        <v>96</v>
      </c>
      <c r="W239" s="20"/>
      <c r="X239" s="20"/>
      <c r="Y239" s="20"/>
      <c r="Z239" s="1"/>
      <c r="AA239" s="20" t="s">
        <v>147</v>
      </c>
      <c r="AB239" s="20"/>
      <c r="AC239" s="20"/>
      <c r="AD239" s="20"/>
      <c r="AE239" s="37"/>
      <c r="AF239" s="66">
        <f>0.032*$AG$4*$AF$9^2</f>
        <v>1.944</v>
      </c>
      <c r="AG239" s="66"/>
      <c r="AH239" s="66"/>
      <c r="AI239" s="37" t="s">
        <v>161</v>
      </c>
      <c r="AJ239" s="37"/>
      <c r="AK239" s="37"/>
      <c r="AL239" s="37"/>
      <c r="AM239" s="37"/>
      <c r="AN239" s="37"/>
      <c r="AO239" s="37"/>
      <c r="AP239" s="37"/>
      <c r="AQ239" s="37"/>
      <c r="AR239" s="44"/>
      <c r="AS239" s="43"/>
      <c r="AT239" s="37"/>
      <c r="AU239" s="37"/>
      <c r="AV239" s="37"/>
      <c r="AW239" s="37"/>
      <c r="AX239" s="37"/>
      <c r="AY239" s="37"/>
      <c r="AZ239" s="37"/>
      <c r="BA239" s="44"/>
      <c r="BB239" s="42"/>
    </row>
    <row r="240" spans="2:54">
      <c r="B240" s="38"/>
      <c r="C240" s="71"/>
      <c r="D240" s="20"/>
      <c r="E240" s="20"/>
      <c r="F240" s="27">
        <v>1</v>
      </c>
      <c r="G240" s="20"/>
      <c r="H240" s="20"/>
      <c r="I240" s="27">
        <v>2</v>
      </c>
      <c r="J240" s="20"/>
      <c r="K240" s="20"/>
      <c r="L240" s="27">
        <v>3</v>
      </c>
      <c r="M240" s="20"/>
      <c r="N240" s="20"/>
      <c r="O240" s="27">
        <v>4</v>
      </c>
      <c r="P240" s="20"/>
      <c r="Q240" s="20"/>
      <c r="R240" s="27">
        <v>5</v>
      </c>
      <c r="S240" s="20"/>
      <c r="T240" s="20"/>
      <c r="U240" s="20"/>
      <c r="V240" s="20" t="s">
        <v>79</v>
      </c>
      <c r="W240" s="20"/>
      <c r="X240" s="20"/>
      <c r="Y240" s="20"/>
      <c r="Z240" s="1"/>
      <c r="AA240" s="26" t="s">
        <v>148</v>
      </c>
      <c r="AB240" s="20"/>
      <c r="AC240" s="20"/>
      <c r="AD240" s="20"/>
      <c r="AE240" s="37"/>
      <c r="AF240" s="66">
        <f>-0.059*$AG$4*$AF$9^2</f>
        <v>-3.5842499999999999</v>
      </c>
      <c r="AG240" s="66"/>
      <c r="AH240" s="66"/>
      <c r="AI240" s="37" t="s">
        <v>161</v>
      </c>
      <c r="AJ240" s="37"/>
      <c r="AK240" s="37"/>
      <c r="AL240" s="37"/>
      <c r="AM240" s="37"/>
      <c r="AN240" s="37"/>
      <c r="AO240" s="37"/>
      <c r="AP240" s="37"/>
      <c r="AQ240" s="37"/>
      <c r="AR240" s="44"/>
      <c r="AS240" s="43"/>
      <c r="AT240" s="37"/>
      <c r="AU240" s="37"/>
      <c r="AV240" s="37"/>
      <c r="AW240" s="37"/>
      <c r="AX240" s="37"/>
      <c r="AY240" s="37"/>
      <c r="AZ240" s="37"/>
      <c r="BA240" s="44"/>
      <c r="BB240" s="42"/>
    </row>
    <row r="241" spans="2:54">
      <c r="B241" s="38"/>
      <c r="C241" s="71"/>
      <c r="D241" s="67" t="s">
        <v>8</v>
      </c>
      <c r="E241" s="67"/>
      <c r="F241" s="27"/>
      <c r="G241" s="67" t="s">
        <v>10</v>
      </c>
      <c r="H241" s="67"/>
      <c r="I241" s="27"/>
      <c r="J241" s="67" t="s">
        <v>11</v>
      </c>
      <c r="K241" s="67"/>
      <c r="L241" s="27"/>
      <c r="M241" s="67" t="s">
        <v>32</v>
      </c>
      <c r="N241" s="67"/>
      <c r="O241" s="27"/>
      <c r="P241" s="67" t="s">
        <v>63</v>
      </c>
      <c r="Q241" s="67"/>
      <c r="R241" s="27"/>
      <c r="S241" s="67" t="s">
        <v>108</v>
      </c>
      <c r="T241" s="67"/>
      <c r="U241" s="20"/>
      <c r="V241" s="20" t="s">
        <v>129</v>
      </c>
      <c r="W241" s="20"/>
      <c r="X241" s="20"/>
      <c r="Y241" s="20"/>
      <c r="Z241" s="1"/>
      <c r="AA241" s="26" t="s">
        <v>149</v>
      </c>
      <c r="AB241" s="20"/>
      <c r="AC241" s="20"/>
      <c r="AD241" s="20"/>
      <c r="AE241" s="37"/>
      <c r="AF241" s="66">
        <f>-0.048*$AG$4*$AF$9^2</f>
        <v>-2.9160000000000004</v>
      </c>
      <c r="AG241" s="66"/>
      <c r="AH241" s="66"/>
      <c r="AI241" s="37" t="s">
        <v>161</v>
      </c>
      <c r="AJ241" s="37"/>
      <c r="AK241" s="37"/>
      <c r="AL241" s="37"/>
      <c r="AM241" s="37"/>
      <c r="AN241" s="37"/>
      <c r="AO241" s="37"/>
      <c r="AP241" s="37"/>
      <c r="AQ241" s="37"/>
      <c r="AR241" s="44"/>
      <c r="AS241" s="43"/>
      <c r="AT241" s="37"/>
      <c r="AU241" s="37"/>
      <c r="AV241" s="37"/>
      <c r="AW241" s="37"/>
      <c r="AX241" s="37"/>
      <c r="AY241" s="37"/>
      <c r="AZ241" s="37"/>
      <c r="BA241" s="44"/>
      <c r="BB241" s="42"/>
    </row>
    <row r="242" spans="2:54">
      <c r="B242" s="38"/>
      <c r="C242" s="71"/>
      <c r="D242" s="20"/>
      <c r="E242" s="27"/>
      <c r="F242" s="27" t="s">
        <v>14</v>
      </c>
      <c r="G242" s="20"/>
      <c r="H242" s="27"/>
      <c r="I242" s="27" t="s">
        <v>14</v>
      </c>
      <c r="J242" s="20"/>
      <c r="K242" s="27"/>
      <c r="L242" s="27" t="s">
        <v>14</v>
      </c>
      <c r="M242" s="20"/>
      <c r="N242" s="27"/>
      <c r="O242" s="27" t="s">
        <v>14</v>
      </c>
      <c r="P242" s="20"/>
      <c r="Q242" s="28"/>
      <c r="R242" s="27" t="str">
        <f>+O242</f>
        <v>L</v>
      </c>
      <c r="S242" s="20"/>
      <c r="T242" s="20"/>
      <c r="U242" s="20"/>
      <c r="V242" s="20" t="s">
        <v>97</v>
      </c>
      <c r="W242" s="20"/>
      <c r="X242" s="20"/>
      <c r="Y242" s="20"/>
      <c r="Z242" s="1"/>
      <c r="AA242" s="26" t="s">
        <v>150</v>
      </c>
      <c r="AB242" s="20"/>
      <c r="AC242" s="20"/>
      <c r="AD242" s="20"/>
      <c r="AE242" s="37"/>
      <c r="AF242" s="66">
        <f>-0.194*$AG$4*$AF$9</f>
        <v>-2.6190000000000002</v>
      </c>
      <c r="AG242" s="66"/>
      <c r="AH242" s="66"/>
      <c r="AI242" s="37" t="s">
        <v>162</v>
      </c>
      <c r="AJ242" s="37"/>
      <c r="AK242" s="37"/>
      <c r="AL242" s="37"/>
      <c r="AM242" s="37"/>
      <c r="AN242" s="37"/>
      <c r="AO242" s="37"/>
      <c r="AP242" s="37"/>
      <c r="AQ242" s="37"/>
      <c r="AR242" s="44"/>
      <c r="AS242" s="43"/>
      <c r="AT242" s="37"/>
      <c r="AU242" s="37"/>
      <c r="AV242" s="37"/>
      <c r="AW242" s="37"/>
      <c r="AX242" s="37"/>
      <c r="AY242" s="37"/>
      <c r="AZ242" s="37"/>
      <c r="BA242" s="44"/>
      <c r="BB242" s="42"/>
    </row>
    <row r="243" spans="2:54">
      <c r="B243" s="38"/>
      <c r="C243" s="71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 t="s">
        <v>94</v>
      </c>
      <c r="W243" s="20"/>
      <c r="X243" s="20"/>
      <c r="Y243" s="20"/>
      <c r="Z243" s="1"/>
      <c r="AA243" s="20" t="s">
        <v>151</v>
      </c>
      <c r="AB243" s="20"/>
      <c r="AC243" s="20"/>
      <c r="AD243" s="20"/>
      <c r="AE243" s="37"/>
      <c r="AF243" s="66">
        <f>0.103*$AG$4*$AF$9</f>
        <v>1.3905000000000001</v>
      </c>
      <c r="AG243" s="66"/>
      <c r="AH243" s="66"/>
      <c r="AI243" s="37" t="s">
        <v>162</v>
      </c>
      <c r="AJ243" s="37"/>
      <c r="AK243" s="37"/>
      <c r="AL243" s="37"/>
      <c r="AM243" s="37"/>
      <c r="AN243" s="37"/>
      <c r="AO243" s="37"/>
      <c r="AP243" s="37"/>
      <c r="AQ243" s="37"/>
      <c r="AR243" s="44"/>
      <c r="AS243" s="43"/>
      <c r="AT243" s="37"/>
      <c r="AU243" s="37"/>
      <c r="AV243" s="37"/>
      <c r="AW243" s="37"/>
      <c r="AX243" s="37"/>
      <c r="AY243" s="37"/>
      <c r="AZ243" s="37"/>
      <c r="BA243" s="44"/>
      <c r="BB243" s="42"/>
    </row>
    <row r="244" spans="2:54">
      <c r="B244" s="38"/>
      <c r="C244" s="71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 t="s">
        <v>152</v>
      </c>
      <c r="W244" s="20"/>
      <c r="X244" s="20"/>
      <c r="Y244" s="20"/>
      <c r="Z244" s="1"/>
      <c r="AA244" s="26" t="s">
        <v>153</v>
      </c>
      <c r="AB244" s="20"/>
      <c r="AC244" s="20"/>
      <c r="AD244" s="20"/>
      <c r="AE244" s="37"/>
      <c r="AF244" s="66">
        <f>-0.091*$AG$4*$AF$9</f>
        <v>-1.2285000000000001</v>
      </c>
      <c r="AG244" s="66"/>
      <c r="AH244" s="66"/>
      <c r="AI244" s="37" t="s">
        <v>162</v>
      </c>
      <c r="AJ244" s="37"/>
      <c r="AK244" s="37"/>
      <c r="AL244" s="37"/>
      <c r="AM244" s="37"/>
      <c r="AN244" s="37"/>
      <c r="AO244" s="37"/>
      <c r="AP244" s="37"/>
      <c r="AQ244" s="37"/>
      <c r="AR244" s="44"/>
      <c r="AS244" s="43"/>
      <c r="AT244" s="37"/>
      <c r="AU244" s="37"/>
      <c r="AV244" s="37"/>
      <c r="AW244" s="37"/>
      <c r="AX244" s="37"/>
      <c r="AY244" s="37"/>
      <c r="AZ244" s="37"/>
      <c r="BA244" s="44"/>
      <c r="BB244" s="42"/>
    </row>
    <row r="245" spans="2:54" ht="12" thickBot="1">
      <c r="B245" s="54"/>
      <c r="C245" s="73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30"/>
      <c r="AA245" s="10"/>
      <c r="AB245" s="10"/>
      <c r="AC245" s="10"/>
      <c r="AD245" s="10"/>
      <c r="AE245" s="10"/>
      <c r="AF245" s="10"/>
      <c r="AG245" s="1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1"/>
      <c r="AS245" s="59"/>
      <c r="AT245" s="50"/>
      <c r="AU245" s="50"/>
      <c r="AV245" s="50"/>
      <c r="AW245" s="50"/>
      <c r="AX245" s="50"/>
      <c r="AY245" s="50"/>
      <c r="AZ245" s="50"/>
      <c r="BA245" s="51"/>
      <c r="BB245" s="55"/>
    </row>
  </sheetData>
  <sheetProtection algorithmName="SHA-512" hashValue="9C8yGXywTukmK/ZFDi3Ao5IQieLOTtoP+fhg4mxJOc3yEb8xcAMKWG4bEKQSCgqu6vkV8MOwAXuHMZ+QC5UQcA==" saltValue="mRQOSel7sQJfYX6PwIs2Aw==" spinCount="100000" sheet="1" objects="1" scenarios="1"/>
  <mergeCells count="374">
    <mergeCell ref="AW53:AY53"/>
    <mergeCell ref="AW125:AY125"/>
    <mergeCell ref="AW201:AY201"/>
    <mergeCell ref="AI235:AK235"/>
    <mergeCell ref="AN235:AP235"/>
    <mergeCell ref="AI232:AK232"/>
    <mergeCell ref="AN232:AP232"/>
    <mergeCell ref="AI233:AK233"/>
    <mergeCell ref="AN233:AP233"/>
    <mergeCell ref="AI234:AK234"/>
    <mergeCell ref="AN234:AP234"/>
    <mergeCell ref="AI211:AK211"/>
    <mergeCell ref="AN211:AP211"/>
    <mergeCell ref="AI212:AK212"/>
    <mergeCell ref="AN212:AP212"/>
    <mergeCell ref="AI231:AK231"/>
    <mergeCell ref="AN231:AP231"/>
    <mergeCell ref="AI208:AK208"/>
    <mergeCell ref="AN208:AP208"/>
    <mergeCell ref="AI209:AK209"/>
    <mergeCell ref="AN209:AP209"/>
    <mergeCell ref="AI210:AK210"/>
    <mergeCell ref="AN210:AP210"/>
    <mergeCell ref="AI196:AK196"/>
    <mergeCell ref="AN196:AP196"/>
    <mergeCell ref="AI197:AK197"/>
    <mergeCell ref="AN197:AP197"/>
    <mergeCell ref="AI198:AK198"/>
    <mergeCell ref="AN198:AP198"/>
    <mergeCell ref="AI185:AK185"/>
    <mergeCell ref="AN185:AP185"/>
    <mergeCell ref="AI194:AK194"/>
    <mergeCell ref="AN194:AP194"/>
    <mergeCell ref="AI195:AK195"/>
    <mergeCell ref="AN195:AP195"/>
    <mergeCell ref="AI182:AK182"/>
    <mergeCell ref="AN182:AP182"/>
    <mergeCell ref="AI183:AK183"/>
    <mergeCell ref="AN183:AP183"/>
    <mergeCell ref="AI184:AK184"/>
    <mergeCell ref="AN184:AP184"/>
    <mergeCell ref="AI171:AK171"/>
    <mergeCell ref="AN171:AP171"/>
    <mergeCell ref="AI172:AK172"/>
    <mergeCell ref="AN172:AP172"/>
    <mergeCell ref="AI181:AK181"/>
    <mergeCell ref="AN181:AP181"/>
    <mergeCell ref="AI168:AK168"/>
    <mergeCell ref="AN168:AP168"/>
    <mergeCell ref="AI169:AK169"/>
    <mergeCell ref="AN169:AP169"/>
    <mergeCell ref="AI170:AK170"/>
    <mergeCell ref="AN170:AP170"/>
    <mergeCell ref="AI145:AK145"/>
    <mergeCell ref="AN145:AP145"/>
    <mergeCell ref="AI146:AK146"/>
    <mergeCell ref="AN146:AP146"/>
    <mergeCell ref="AI147:AK147"/>
    <mergeCell ref="AN147:AP147"/>
    <mergeCell ref="AI128:AK128"/>
    <mergeCell ref="AN128:AP128"/>
    <mergeCell ref="AI129:AK129"/>
    <mergeCell ref="AN129:AP129"/>
    <mergeCell ref="AI144:AK144"/>
    <mergeCell ref="AN144:AP144"/>
    <mergeCell ref="AI117:AK117"/>
    <mergeCell ref="AN117:AP117"/>
    <mergeCell ref="AI126:AK126"/>
    <mergeCell ref="AN126:AP126"/>
    <mergeCell ref="AI127:AK127"/>
    <mergeCell ref="AN127:AP127"/>
    <mergeCell ref="AI114:AK114"/>
    <mergeCell ref="AN114:AP114"/>
    <mergeCell ref="AI115:AK115"/>
    <mergeCell ref="AN115:AP115"/>
    <mergeCell ref="AI116:AK116"/>
    <mergeCell ref="AN116:AP116"/>
    <mergeCell ref="AN104:AP104"/>
    <mergeCell ref="AI105:AK105"/>
    <mergeCell ref="AN105:AP105"/>
    <mergeCell ref="AI106:AK106"/>
    <mergeCell ref="AN106:AP106"/>
    <mergeCell ref="AI94:AK94"/>
    <mergeCell ref="AN94:AP94"/>
    <mergeCell ref="AI95:AK95"/>
    <mergeCell ref="AN95:AP95"/>
    <mergeCell ref="AI103:AK103"/>
    <mergeCell ref="AN103:AP103"/>
    <mergeCell ref="AI104:AK104"/>
    <mergeCell ref="AN79:AP79"/>
    <mergeCell ref="AI92:AK92"/>
    <mergeCell ref="AN92:AP92"/>
    <mergeCell ref="AI93:AK93"/>
    <mergeCell ref="AN93:AP93"/>
    <mergeCell ref="AI77:AK77"/>
    <mergeCell ref="AN77:AP77"/>
    <mergeCell ref="AI78:AK78"/>
    <mergeCell ref="AN78:AP78"/>
    <mergeCell ref="AI79:AK79"/>
    <mergeCell ref="AN61:AP61"/>
    <mergeCell ref="AI69:AK69"/>
    <mergeCell ref="AN69:AP69"/>
    <mergeCell ref="AI70:AK70"/>
    <mergeCell ref="AN70:AP70"/>
    <mergeCell ref="AI59:AK59"/>
    <mergeCell ref="AN59:AP59"/>
    <mergeCell ref="AI60:AK60"/>
    <mergeCell ref="AN60:AP60"/>
    <mergeCell ref="AI61:AK61"/>
    <mergeCell ref="AN50:AP50"/>
    <mergeCell ref="AI51:AK51"/>
    <mergeCell ref="AN51:AP51"/>
    <mergeCell ref="AI71:AK71"/>
    <mergeCell ref="AN71:AP71"/>
    <mergeCell ref="AI31:AK31"/>
    <mergeCell ref="AN31:AP31"/>
    <mergeCell ref="AH41:AJ41"/>
    <mergeCell ref="AM41:AO41"/>
    <mergeCell ref="AH42:AJ42"/>
    <mergeCell ref="AM42:AO42"/>
    <mergeCell ref="AF40:AH40"/>
    <mergeCell ref="AF46:AH46"/>
    <mergeCell ref="AI52:AK52"/>
    <mergeCell ref="AN52:AP52"/>
    <mergeCell ref="AI30:AK30"/>
    <mergeCell ref="AI50:AK50"/>
    <mergeCell ref="AI23:AK23"/>
    <mergeCell ref="AN23:AP23"/>
    <mergeCell ref="AI24:AK24"/>
    <mergeCell ref="AN24:AP24"/>
    <mergeCell ref="AF242:AH242"/>
    <mergeCell ref="AF243:AH243"/>
    <mergeCell ref="AF124:AH124"/>
    <mergeCell ref="AF125:AH125"/>
    <mergeCell ref="AF132:AH132"/>
    <mergeCell ref="AF133:AH133"/>
    <mergeCell ref="AF102:AH102"/>
    <mergeCell ref="AH43:AJ43"/>
    <mergeCell ref="AM43:AO43"/>
    <mergeCell ref="AF91:AH91"/>
    <mergeCell ref="AF98:AH98"/>
    <mergeCell ref="AF100:AH100"/>
    <mergeCell ref="AF76:AH76"/>
    <mergeCell ref="AF67:AH67"/>
    <mergeCell ref="AF68:AH68"/>
    <mergeCell ref="AF73:AH73"/>
    <mergeCell ref="AF74:AH74"/>
    <mergeCell ref="AN30:AP30"/>
    <mergeCell ref="AF244:AH244"/>
    <mergeCell ref="AF164:AH164"/>
    <mergeCell ref="AF165:AH165"/>
    <mergeCell ref="AF166:AH166"/>
    <mergeCell ref="AF167:AH167"/>
    <mergeCell ref="AF175:AH175"/>
    <mergeCell ref="AF176:AH176"/>
    <mergeCell ref="AF142:AH142"/>
    <mergeCell ref="AF143:AH143"/>
    <mergeCell ref="AF150:AH150"/>
    <mergeCell ref="AF151:AH151"/>
    <mergeCell ref="AF240:AH240"/>
    <mergeCell ref="AF219:AH219"/>
    <mergeCell ref="AF220:AH220"/>
    <mergeCell ref="AF221:AH221"/>
    <mergeCell ref="AF224:AH224"/>
    <mergeCell ref="AF225:AH225"/>
    <mergeCell ref="AF226:AH226"/>
    <mergeCell ref="AF216:AH216"/>
    <mergeCell ref="AF217:AH217"/>
    <mergeCell ref="D241:E241"/>
    <mergeCell ref="G241:H241"/>
    <mergeCell ref="J241:K241"/>
    <mergeCell ref="M241:N241"/>
    <mergeCell ref="P241:Q241"/>
    <mergeCell ref="S241:T241"/>
    <mergeCell ref="AF241:AH241"/>
    <mergeCell ref="AF227:AH227"/>
    <mergeCell ref="AF228:AH228"/>
    <mergeCell ref="AF229:AH229"/>
    <mergeCell ref="AF230:AH230"/>
    <mergeCell ref="AF238:AH238"/>
    <mergeCell ref="AF239:AH239"/>
    <mergeCell ref="D227:E227"/>
    <mergeCell ref="G227:H227"/>
    <mergeCell ref="J227:K227"/>
    <mergeCell ref="M227:N227"/>
    <mergeCell ref="P227:Q227"/>
    <mergeCell ref="S227:T227"/>
    <mergeCell ref="D218:E218"/>
    <mergeCell ref="G218:H218"/>
    <mergeCell ref="J218:K218"/>
    <mergeCell ref="M218:N218"/>
    <mergeCell ref="P218:Q218"/>
    <mergeCell ref="S218:T218"/>
    <mergeCell ref="AF218:AH218"/>
    <mergeCell ref="AF203:AH203"/>
    <mergeCell ref="AF204:AH204"/>
    <mergeCell ref="AF205:AH205"/>
    <mergeCell ref="AF206:AH206"/>
    <mergeCell ref="AF207:AH207"/>
    <mergeCell ref="AF215:AH215"/>
    <mergeCell ref="D203:E203"/>
    <mergeCell ref="G203:H203"/>
    <mergeCell ref="J203:K203"/>
    <mergeCell ref="M203:N203"/>
    <mergeCell ref="P203:Q203"/>
    <mergeCell ref="S203:T203"/>
    <mergeCell ref="M177:N177"/>
    <mergeCell ref="P177:Q177"/>
    <mergeCell ref="S190:T190"/>
    <mergeCell ref="AF191:AH191"/>
    <mergeCell ref="AF192:AH192"/>
    <mergeCell ref="AF193:AH193"/>
    <mergeCell ref="AF201:AH201"/>
    <mergeCell ref="AF202:AH202"/>
    <mergeCell ref="AF177:AH177"/>
    <mergeCell ref="AF178:AH178"/>
    <mergeCell ref="AF179:AH179"/>
    <mergeCell ref="AF180:AH180"/>
    <mergeCell ref="AF189:AH189"/>
    <mergeCell ref="S177:T177"/>
    <mergeCell ref="J162:K162"/>
    <mergeCell ref="M162:N162"/>
    <mergeCell ref="P162:Q162"/>
    <mergeCell ref="S162:T162"/>
    <mergeCell ref="AF162:AH162"/>
    <mergeCell ref="AF163:AH163"/>
    <mergeCell ref="AF153:AH153"/>
    <mergeCell ref="C155:C245"/>
    <mergeCell ref="AF156:AH156"/>
    <mergeCell ref="AF157:AH157"/>
    <mergeCell ref="AF158:AH158"/>
    <mergeCell ref="AF159:AH159"/>
    <mergeCell ref="AF160:AH160"/>
    <mergeCell ref="AF161:AH161"/>
    <mergeCell ref="D162:E162"/>
    <mergeCell ref="G162:H162"/>
    <mergeCell ref="D190:E190"/>
    <mergeCell ref="G190:H190"/>
    <mergeCell ref="J190:K190"/>
    <mergeCell ref="M190:N190"/>
    <mergeCell ref="P190:Q190"/>
    <mergeCell ref="D177:E177"/>
    <mergeCell ref="G177:H177"/>
    <mergeCell ref="J177:K177"/>
    <mergeCell ref="G152:H152"/>
    <mergeCell ref="J152:K152"/>
    <mergeCell ref="M152:N152"/>
    <mergeCell ref="P152:Q152"/>
    <mergeCell ref="S152:T152"/>
    <mergeCell ref="AF152:AH152"/>
    <mergeCell ref="AF135:AH135"/>
    <mergeCell ref="AF136:AH136"/>
    <mergeCell ref="AF137:AH137"/>
    <mergeCell ref="AF140:AH140"/>
    <mergeCell ref="AF141:AH141"/>
    <mergeCell ref="G142:H142"/>
    <mergeCell ref="J142:K142"/>
    <mergeCell ref="M142:N142"/>
    <mergeCell ref="P142:Q142"/>
    <mergeCell ref="S142:T142"/>
    <mergeCell ref="AF86:AH86"/>
    <mergeCell ref="AF87:AH87"/>
    <mergeCell ref="AF88:AH88"/>
    <mergeCell ref="AF89:AH89"/>
    <mergeCell ref="AF90:AH90"/>
    <mergeCell ref="G134:H134"/>
    <mergeCell ref="J134:K134"/>
    <mergeCell ref="M134:N134"/>
    <mergeCell ref="P134:Q134"/>
    <mergeCell ref="S134:T134"/>
    <mergeCell ref="AF134:AH134"/>
    <mergeCell ref="AF113:AH113"/>
    <mergeCell ref="AF120:AH120"/>
    <mergeCell ref="AF121:AH121"/>
    <mergeCell ref="AF122:AH122"/>
    <mergeCell ref="G123:H123"/>
    <mergeCell ref="J123:K123"/>
    <mergeCell ref="M123:N123"/>
    <mergeCell ref="P123:Q123"/>
    <mergeCell ref="S123:T123"/>
    <mergeCell ref="AF123:AH123"/>
    <mergeCell ref="C81:C154"/>
    <mergeCell ref="AF82:AH82"/>
    <mergeCell ref="AF83:AH83"/>
    <mergeCell ref="AF84:AH84"/>
    <mergeCell ref="AF85:AH85"/>
    <mergeCell ref="G86:H86"/>
    <mergeCell ref="J86:K86"/>
    <mergeCell ref="M86:N86"/>
    <mergeCell ref="P86:Q86"/>
    <mergeCell ref="AF110:AH110"/>
    <mergeCell ref="AF111:AH111"/>
    <mergeCell ref="G112:H112"/>
    <mergeCell ref="J112:K112"/>
    <mergeCell ref="M112:N112"/>
    <mergeCell ref="P112:Q112"/>
    <mergeCell ref="S112:T112"/>
    <mergeCell ref="AF112:AH112"/>
    <mergeCell ref="G101:H101"/>
    <mergeCell ref="J101:K101"/>
    <mergeCell ref="M101:N101"/>
    <mergeCell ref="P101:Q101"/>
    <mergeCell ref="S101:T101"/>
    <mergeCell ref="AF101:AH101"/>
    <mergeCell ref="S86:T86"/>
    <mergeCell ref="J75:K75"/>
    <mergeCell ref="M75:N75"/>
    <mergeCell ref="P75:Q75"/>
    <mergeCell ref="S75:T75"/>
    <mergeCell ref="AF75:AH75"/>
    <mergeCell ref="AF65:AH65"/>
    <mergeCell ref="J66:K66"/>
    <mergeCell ref="M66:N66"/>
    <mergeCell ref="P66:Q66"/>
    <mergeCell ref="S66:T66"/>
    <mergeCell ref="AF66:AH66"/>
    <mergeCell ref="M57:N57"/>
    <mergeCell ref="P57:Q57"/>
    <mergeCell ref="S57:T57"/>
    <mergeCell ref="AF57:AH57"/>
    <mergeCell ref="AF28:AH28"/>
    <mergeCell ref="AF29:AH29"/>
    <mergeCell ref="M30:N30"/>
    <mergeCell ref="P30:Q30"/>
    <mergeCell ref="S30:T30"/>
    <mergeCell ref="AF47:AH47"/>
    <mergeCell ref="AW22:AY22"/>
    <mergeCell ref="C33:C80"/>
    <mergeCell ref="AF34:AH34"/>
    <mergeCell ref="AF35:AH35"/>
    <mergeCell ref="AF36:AH36"/>
    <mergeCell ref="J37:K37"/>
    <mergeCell ref="C11:C32"/>
    <mergeCell ref="J48:K48"/>
    <mergeCell ref="M48:N48"/>
    <mergeCell ref="P48:Q48"/>
    <mergeCell ref="S48:T48"/>
    <mergeCell ref="AF48:AH48"/>
    <mergeCell ref="M37:N37"/>
    <mergeCell ref="P37:Q37"/>
    <mergeCell ref="S37:T37"/>
    <mergeCell ref="AF37:AH37"/>
    <mergeCell ref="AF38:AH38"/>
    <mergeCell ref="AF39:AH39"/>
    <mergeCell ref="AF58:AH58"/>
    <mergeCell ref="AF64:AH64"/>
    <mergeCell ref="AF49:AH49"/>
    <mergeCell ref="AF55:AH55"/>
    <mergeCell ref="AF56:AH56"/>
    <mergeCell ref="J57:K57"/>
    <mergeCell ref="AQ8:AS8"/>
    <mergeCell ref="B2:BB2"/>
    <mergeCell ref="AF16:AH16"/>
    <mergeCell ref="AF20:AH20"/>
    <mergeCell ref="AF21:AH21"/>
    <mergeCell ref="M22:N22"/>
    <mergeCell ref="P22:Q22"/>
    <mergeCell ref="S22:T22"/>
    <mergeCell ref="AF22:AH22"/>
    <mergeCell ref="AG4:AH4"/>
    <mergeCell ref="AF9:AG9"/>
    <mergeCell ref="AF12:AH12"/>
    <mergeCell ref="AF13:AH13"/>
    <mergeCell ref="AF14:AH14"/>
    <mergeCell ref="M15:N15"/>
    <mergeCell ref="P15:Q15"/>
    <mergeCell ref="S15:T15"/>
    <mergeCell ref="AF15:AH15"/>
    <mergeCell ref="AM5:AO5"/>
    <mergeCell ref="AM6:AO6"/>
    <mergeCell ref="AH18:AJ18"/>
    <mergeCell ref="AH17:AJ17"/>
    <mergeCell ref="AM17:AO17"/>
    <mergeCell ref="AM18:AO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2020-02-07T09:53:00Z</dcterms:created>
  <dcterms:modified xsi:type="dcterms:W3CDTF">2020-02-26T07:43:26Z</dcterms:modified>
</cp:coreProperties>
</file>