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statik_hesaplar\"/>
    </mc:Choice>
  </mc:AlternateContent>
  <xr:revisionPtr revIDLastSave="0" documentId="13_ncr:1_{B9015536-814B-4800-B9EB-0049FC8CA2EE}" xr6:coauthVersionLast="47" xr6:coauthVersionMax="47" xr10:uidLastSave="{00000000-0000-0000-0000-000000000000}"/>
  <bookViews>
    <workbookView xWindow="-120" yWindow="-120" windowWidth="29040" windowHeight="15840" xr2:uid="{5E87FFF2-1BDD-4DA5-8C83-F33F456F2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227" i="1" l="1"/>
  <c r="AZ1227" i="1" s="1"/>
  <c r="E1240" i="1"/>
  <c r="AE1240" i="1" s="1"/>
  <c r="H1244" i="1"/>
  <c r="AB1244" i="1" s="1"/>
  <c r="AZ1238" i="1"/>
  <c r="AW1238" i="1"/>
  <c r="T1245" i="1"/>
  <c r="Y1245" i="1" s="1"/>
  <c r="J1245" i="1"/>
  <c r="O1245" i="1"/>
  <c r="W1232" i="1"/>
  <c r="M1232" i="1"/>
  <c r="AW1213" i="1"/>
  <c r="H1220" i="1"/>
  <c r="AB1220" i="1" s="1"/>
  <c r="AE1216" i="1"/>
  <c r="K1216" i="1"/>
  <c r="AV1203" i="1"/>
  <c r="AZ1203" i="1" s="1"/>
  <c r="W1221" i="1"/>
  <c r="M1221" i="1"/>
  <c r="AR1206" i="1" s="1"/>
  <c r="AW1191" i="1"/>
  <c r="E1194" i="1"/>
  <c r="AE1194" i="1" s="1"/>
  <c r="AB1198" i="1"/>
  <c r="H1198" i="1"/>
  <c r="AV1181" i="1"/>
  <c r="AZ1181" i="1" s="1"/>
  <c r="W1199" i="1"/>
  <c r="M1199" i="1"/>
  <c r="AR1184" i="1" s="1"/>
  <c r="AW1167" i="1"/>
  <c r="AZ1167" i="1" s="1"/>
  <c r="AR1161" i="1"/>
  <c r="BE1161" i="1" s="1"/>
  <c r="E1170" i="1"/>
  <c r="AE1170" i="1" s="1"/>
  <c r="H1174" i="1"/>
  <c r="AB1174" i="1" s="1"/>
  <c r="AV1157" i="1"/>
  <c r="AZ1157" i="1"/>
  <c r="W1175" i="1"/>
  <c r="M1175" i="1"/>
  <c r="AN1142" i="1"/>
  <c r="AD1093" i="1"/>
  <c r="AT619" i="1"/>
  <c r="AG256" i="1"/>
  <c r="AH139" i="1"/>
  <c r="Q1136" i="1"/>
  <c r="Q1137" i="1" s="1"/>
  <c r="Q1114" i="1"/>
  <c r="Q1115" i="1" s="1"/>
  <c r="AG1109" i="1" s="1"/>
  <c r="Q1087" i="1"/>
  <c r="Q1088" i="1" s="1"/>
  <c r="Q1063" i="1"/>
  <c r="Q1064" i="1" s="1"/>
  <c r="AG1057" i="1" s="1"/>
  <c r="K1076" i="1" s="1"/>
  <c r="X984" i="1"/>
  <c r="E983" i="1"/>
  <c r="X985" i="1" s="1"/>
  <c r="AC986" i="1"/>
  <c r="S983" i="1"/>
  <c r="S982" i="1"/>
  <c r="S984" i="1" s="1"/>
  <c r="V980" i="1"/>
  <c r="J1019" i="1"/>
  <c r="AF1019" i="1" s="1"/>
  <c r="G916" i="1"/>
  <c r="AC916" i="1" s="1"/>
  <c r="G887" i="1"/>
  <c r="AC887" i="1" s="1"/>
  <c r="S873" i="1"/>
  <c r="AC856" i="1"/>
  <c r="G856" i="1" s="1"/>
  <c r="S848" i="1"/>
  <c r="G802" i="1"/>
  <c r="AC802" i="1" s="1"/>
  <c r="G775" i="1"/>
  <c r="AC775" i="1" s="1"/>
  <c r="AC687" i="1"/>
  <c r="G687" i="1"/>
  <c r="G628" i="1"/>
  <c r="S628" i="1" s="1"/>
  <c r="G604" i="1"/>
  <c r="G264" i="1"/>
  <c r="S264" i="1" s="1"/>
  <c r="G241" i="1"/>
  <c r="S241" i="1" s="1"/>
  <c r="S218" i="1"/>
  <c r="G195" i="1"/>
  <c r="S195" i="1" s="1"/>
  <c r="G148" i="1"/>
  <c r="S148" i="1" s="1"/>
  <c r="S73" i="1"/>
  <c r="G73" i="1" s="1"/>
  <c r="AC590" i="1"/>
  <c r="AU611" i="1"/>
  <c r="AC1012" i="1"/>
  <c r="S1009" i="1"/>
  <c r="S1011" i="1" s="1"/>
  <c r="S1008" i="1"/>
  <c r="S1010" i="1" s="1"/>
  <c r="V1006" i="1"/>
  <c r="S1036" i="1"/>
  <c r="S1035" i="1"/>
  <c r="S1037" i="1" s="1"/>
  <c r="AC1039" i="1"/>
  <c r="V1033" i="1"/>
  <c r="S956" i="1"/>
  <c r="S955" i="1"/>
  <c r="S957" i="1" s="1"/>
  <c r="AC959" i="1"/>
  <c r="V953" i="1"/>
  <c r="S929" i="1"/>
  <c r="S928" i="1"/>
  <c r="S930" i="1" s="1"/>
  <c r="AC932" i="1"/>
  <c r="V926" i="1"/>
  <c r="S902" i="1"/>
  <c r="S901" i="1"/>
  <c r="S903" i="1" s="1"/>
  <c r="AC905" i="1"/>
  <c r="V899" i="1"/>
  <c r="AC876" i="1"/>
  <c r="S872" i="1"/>
  <c r="S874" i="1" s="1"/>
  <c r="V870" i="1"/>
  <c r="E842" i="1"/>
  <c r="AC845" i="1"/>
  <c r="S842" i="1"/>
  <c r="S844" i="1" s="1"/>
  <c r="S841" i="1"/>
  <c r="S843" i="1" s="1"/>
  <c r="V839" i="1"/>
  <c r="AC818" i="1"/>
  <c r="S815" i="1"/>
  <c r="S817" i="1" s="1"/>
  <c r="S814" i="1"/>
  <c r="S816" i="1" s="1"/>
  <c r="V812" i="1"/>
  <c r="AC791" i="1"/>
  <c r="S788" i="1"/>
  <c r="S790" i="1" s="1"/>
  <c r="S787" i="1"/>
  <c r="S789" i="1" s="1"/>
  <c r="V785" i="1"/>
  <c r="AC764" i="1"/>
  <c r="S761" i="1"/>
  <c r="S763" i="1" s="1"/>
  <c r="S760" i="1"/>
  <c r="S762" i="1" s="1"/>
  <c r="V758" i="1"/>
  <c r="G745" i="1"/>
  <c r="AC745" i="1" s="1"/>
  <c r="I747" i="1"/>
  <c r="O747" i="1" s="1"/>
  <c r="U747" i="1" s="1"/>
  <c r="Z747" i="1" s="1"/>
  <c r="L723" i="1"/>
  <c r="W723" i="1"/>
  <c r="AC734" i="1"/>
  <c r="S731" i="1"/>
  <c r="S733" i="1" s="1"/>
  <c r="S735" i="1" s="1"/>
  <c r="S730" i="1"/>
  <c r="S732" i="1" s="1"/>
  <c r="V728" i="1"/>
  <c r="G716" i="1"/>
  <c r="AC716" i="1" s="1"/>
  <c r="AC705" i="1"/>
  <c r="S702" i="1"/>
  <c r="S704" i="1" s="1"/>
  <c r="S701" i="1"/>
  <c r="S703" i="1" s="1"/>
  <c r="V699" i="1"/>
  <c r="AC676" i="1"/>
  <c r="S673" i="1"/>
  <c r="S675" i="1" s="1"/>
  <c r="S672" i="1"/>
  <c r="S674" i="1" s="1"/>
  <c r="V670" i="1"/>
  <c r="G659" i="1"/>
  <c r="AC659" i="1" s="1"/>
  <c r="S645" i="1"/>
  <c r="S647" i="1" s="1"/>
  <c r="S644" i="1"/>
  <c r="S646" i="1" s="1"/>
  <c r="V642" i="1"/>
  <c r="AC648" i="1"/>
  <c r="N617" i="1"/>
  <c r="W615" i="1"/>
  <c r="C610" i="1"/>
  <c r="N614" i="1" s="1"/>
  <c r="N616" i="1" s="1"/>
  <c r="W591" i="1"/>
  <c r="W564" i="1"/>
  <c r="W537" i="1"/>
  <c r="N593" i="1"/>
  <c r="C586" i="1"/>
  <c r="N566" i="1"/>
  <c r="C559" i="1"/>
  <c r="N563" i="1" s="1"/>
  <c r="N539" i="1"/>
  <c r="C532" i="1"/>
  <c r="N536" i="1" s="1"/>
  <c r="N537" i="1" s="1"/>
  <c r="N509" i="1"/>
  <c r="N506" i="1"/>
  <c r="N508" i="1" s="1"/>
  <c r="S508" i="1"/>
  <c r="E505" i="1"/>
  <c r="N510" i="1" s="1"/>
  <c r="N481" i="1"/>
  <c r="N483" i="1" s="1"/>
  <c r="S483" i="1"/>
  <c r="J464" i="1"/>
  <c r="V464" i="1" s="1"/>
  <c r="N455" i="1"/>
  <c r="N456" i="1" s="1"/>
  <c r="S457" i="1"/>
  <c r="AF435" i="1"/>
  <c r="N432" i="1"/>
  <c r="N429" i="1"/>
  <c r="N430" i="1" s="1"/>
  <c r="Q444" i="1"/>
  <c r="M444" i="1" s="1"/>
  <c r="G442" i="1"/>
  <c r="S442" i="1" s="1"/>
  <c r="S431" i="1"/>
  <c r="O424" i="1"/>
  <c r="N406" i="1"/>
  <c r="N403" i="1"/>
  <c r="N405" i="1" s="1"/>
  <c r="O418" i="1"/>
  <c r="N407" i="1" s="1"/>
  <c r="S405" i="1"/>
  <c r="N379" i="1"/>
  <c r="N381" i="1" s="1"/>
  <c r="S381" i="1"/>
  <c r="N355" i="1"/>
  <c r="N357" i="1" s="1"/>
  <c r="S357" i="1"/>
  <c r="M328" i="1"/>
  <c r="M330" i="1" s="1"/>
  <c r="Q343" i="1"/>
  <c r="M331" i="1" s="1"/>
  <c r="AD331" i="1"/>
  <c r="S330" i="1"/>
  <c r="AF307" i="1"/>
  <c r="Q316" i="1"/>
  <c r="M316" i="1" s="1"/>
  <c r="G314" i="1" s="1"/>
  <c r="S303" i="1"/>
  <c r="AF283" i="1"/>
  <c r="G290" i="1"/>
  <c r="S290" i="1" s="1"/>
  <c r="S279" i="1"/>
  <c r="N277" i="1"/>
  <c r="N278" i="1" s="1"/>
  <c r="AC287" i="1" s="1"/>
  <c r="D286" i="1" s="1"/>
  <c r="S253" i="1"/>
  <c r="M251" i="1"/>
  <c r="M252" i="1" s="1"/>
  <c r="AP225" i="1"/>
  <c r="AL222" i="1" s="1"/>
  <c r="Y228" i="1"/>
  <c r="J237" i="1"/>
  <c r="S230" i="1"/>
  <c r="M228" i="1"/>
  <c r="M229" i="1" s="1"/>
  <c r="E204" i="1"/>
  <c r="S207" i="1"/>
  <c r="M207" i="1"/>
  <c r="M205" i="1"/>
  <c r="M206" i="1" s="1"/>
  <c r="M184" i="1"/>
  <c r="E180" i="1"/>
  <c r="M185" i="1" s="1"/>
  <c r="S184" i="1"/>
  <c r="M182" i="1"/>
  <c r="M183" i="1" s="1"/>
  <c r="G172" i="1"/>
  <c r="S172" i="1" s="1"/>
  <c r="S161" i="1"/>
  <c r="M159" i="1"/>
  <c r="S137" i="1"/>
  <c r="M135" i="1"/>
  <c r="M136" i="1" s="1"/>
  <c r="M112" i="1"/>
  <c r="G123" i="1"/>
  <c r="S123" i="1" s="1"/>
  <c r="O105" i="1"/>
  <c r="Q125" i="1"/>
  <c r="M125" i="1" s="1"/>
  <c r="S112" i="1"/>
  <c r="M110" i="1"/>
  <c r="M111" i="1" s="1"/>
  <c r="S98" i="1"/>
  <c r="O100" i="1"/>
  <c r="S87" i="1"/>
  <c r="M85" i="1"/>
  <c r="M86" i="1" s="1"/>
  <c r="AD63" i="1"/>
  <c r="Q75" i="1"/>
  <c r="M62" i="1" s="1"/>
  <c r="S62" i="1"/>
  <c r="M60" i="1"/>
  <c r="M61" i="1" s="1"/>
  <c r="Q49" i="1"/>
  <c r="M49" i="1" s="1"/>
  <c r="S36" i="1"/>
  <c r="M34" i="1"/>
  <c r="M35" i="1" s="1"/>
  <c r="G23" i="1"/>
  <c r="S23" i="1" s="1"/>
  <c r="M10" i="1"/>
  <c r="M11" i="1" s="1"/>
  <c r="AA4" i="1" s="1"/>
  <c r="AF11" i="1" s="1"/>
  <c r="S12" i="1"/>
  <c r="K1127" i="1" l="1"/>
  <c r="AJ1123" i="1"/>
  <c r="H1123" i="1" s="1"/>
  <c r="Z1111" i="1" s="1"/>
  <c r="AC1146" i="1"/>
  <c r="AG1131" i="1"/>
  <c r="AG1081" i="1"/>
  <c r="Z1084" i="1" s="1"/>
  <c r="S993" i="1"/>
  <c r="AD1111" i="1"/>
  <c r="AD1133" i="1"/>
  <c r="AR1136" i="1"/>
  <c r="AD1060" i="1"/>
  <c r="H1072" i="1"/>
  <c r="Z1060" i="1" s="1"/>
  <c r="AR1107" i="1"/>
  <c r="Y1113" i="1" s="1"/>
  <c r="N513" i="1"/>
  <c r="S519" i="1" s="1"/>
  <c r="G519" i="1" s="1"/>
  <c r="W1064" i="1"/>
  <c r="S986" i="1"/>
  <c r="S989" i="1"/>
  <c r="S985" i="1"/>
  <c r="S987" i="1" s="1"/>
  <c r="S990" i="1" s="1"/>
  <c r="AA54" i="1"/>
  <c r="AL54" i="1" s="1"/>
  <c r="AP57" i="1" s="1"/>
  <c r="AC202" i="1"/>
  <c r="AB208" i="1" s="1"/>
  <c r="AA104" i="1"/>
  <c r="AE111" i="1" s="1"/>
  <c r="S649" i="1"/>
  <c r="G416" i="1"/>
  <c r="S416" i="1" s="1"/>
  <c r="AC439" i="1"/>
  <c r="D440" i="1" s="1"/>
  <c r="AP179" i="1"/>
  <c r="V191" i="1" s="1"/>
  <c r="J191" i="1" s="1"/>
  <c r="S341" i="1"/>
  <c r="G341" i="1" s="1"/>
  <c r="S648" i="1"/>
  <c r="S879" i="1"/>
  <c r="AD132" i="1"/>
  <c r="Y137" i="1" s="1"/>
  <c r="AF136" i="1" s="1"/>
  <c r="G392" i="1"/>
  <c r="S392" i="1" s="1"/>
  <c r="G829" i="1"/>
  <c r="AC829" i="1" s="1"/>
  <c r="AC179" i="1"/>
  <c r="AF184" i="1" s="1"/>
  <c r="G368" i="1"/>
  <c r="S368" i="1" s="1"/>
  <c r="AA79" i="1"/>
  <c r="AE86" i="1" s="1"/>
  <c r="AP248" i="1"/>
  <c r="V260" i="1" s="1"/>
  <c r="J260" i="1" s="1"/>
  <c r="N540" i="1"/>
  <c r="S845" i="1"/>
  <c r="S765" i="1"/>
  <c r="S875" i="1"/>
  <c r="S877" i="1" s="1"/>
  <c r="S880" i="1" s="1"/>
  <c r="S791" i="1"/>
  <c r="S818" i="1"/>
  <c r="N619" i="1"/>
  <c r="S846" i="1"/>
  <c r="S958" i="1"/>
  <c r="S960" i="1" s="1"/>
  <c r="S963" i="1" s="1"/>
  <c r="S764" i="1"/>
  <c r="S876" i="1"/>
  <c r="S882" i="1" s="1"/>
  <c r="S1012" i="1"/>
  <c r="S1014" i="1"/>
  <c r="S1015" i="1"/>
  <c r="S1013" i="1"/>
  <c r="S1016" i="1" s="1"/>
  <c r="S1042" i="1"/>
  <c r="S1039" i="1"/>
  <c r="S1038" i="1"/>
  <c r="S962" i="1"/>
  <c r="S959" i="1"/>
  <c r="S935" i="1"/>
  <c r="S932" i="1"/>
  <c r="S938" i="1" s="1"/>
  <c r="S941" i="1" s="1"/>
  <c r="S931" i="1"/>
  <c r="S933" i="1" s="1"/>
  <c r="S936" i="1" s="1"/>
  <c r="S904" i="1"/>
  <c r="S906" i="1" s="1"/>
  <c r="S909" i="1" s="1"/>
  <c r="S905" i="1"/>
  <c r="S911" i="1" s="1"/>
  <c r="S908" i="1"/>
  <c r="S819" i="1"/>
  <c r="S792" i="1"/>
  <c r="N570" i="1"/>
  <c r="G577" i="1" s="1"/>
  <c r="S734" i="1"/>
  <c r="S736" i="1" s="1"/>
  <c r="AK726" i="1" s="1"/>
  <c r="S705" i="1"/>
  <c r="N279" i="1"/>
  <c r="N538" i="1"/>
  <c r="N541" i="1" s="1"/>
  <c r="N301" i="1"/>
  <c r="N302" i="1" s="1"/>
  <c r="S676" i="1"/>
  <c r="S706" i="1"/>
  <c r="S677" i="1"/>
  <c r="N615" i="1"/>
  <c r="N618" i="1" s="1"/>
  <c r="N590" i="1"/>
  <c r="S604" i="1"/>
  <c r="N564" i="1"/>
  <c r="N567" i="1" s="1"/>
  <c r="N565" i="1"/>
  <c r="N568" i="1" s="1"/>
  <c r="N380" i="1"/>
  <c r="X389" i="1" s="1"/>
  <c r="G494" i="1"/>
  <c r="S494" i="1" s="1"/>
  <c r="X274" i="1"/>
  <c r="AA271" i="1" s="1"/>
  <c r="AF278" i="1" s="1"/>
  <c r="AJ287" i="1"/>
  <c r="U288" i="1" s="1"/>
  <c r="D288" i="1"/>
  <c r="V286" i="1"/>
  <c r="N304" i="1"/>
  <c r="N431" i="1"/>
  <c r="AP202" i="1"/>
  <c r="D214" i="1" s="1"/>
  <c r="AD248" i="1"/>
  <c r="N507" i="1"/>
  <c r="N511" i="1" s="1"/>
  <c r="N482" i="1"/>
  <c r="N457" i="1"/>
  <c r="X465" i="1" s="1"/>
  <c r="I466" i="1" s="1"/>
  <c r="N404" i="1"/>
  <c r="AJ413" i="1" s="1"/>
  <c r="U414" i="1" s="1"/>
  <c r="N356" i="1"/>
  <c r="X365" i="1" s="1"/>
  <c r="M329" i="1"/>
  <c r="AA322" i="1" s="1"/>
  <c r="S314" i="1"/>
  <c r="AD225" i="1"/>
  <c r="V237" i="1" s="1"/>
  <c r="G98" i="1"/>
  <c r="AL129" i="1"/>
  <c r="V144" i="1" s="1"/>
  <c r="J144" i="1" s="1"/>
  <c r="X107" i="1"/>
  <c r="D119" i="1" s="1"/>
  <c r="V119" i="1" s="1"/>
  <c r="M160" i="1"/>
  <c r="AD156" i="1" s="1"/>
  <c r="AA152" i="1" s="1"/>
  <c r="G47" i="1"/>
  <c r="S47" i="1" s="1"/>
  <c r="M36" i="1"/>
  <c r="AA28" i="1" s="1"/>
  <c r="AL4" i="1"/>
  <c r="AP7" i="1" s="1"/>
  <c r="X7" i="1"/>
  <c r="D19" i="1" s="1"/>
  <c r="V19" i="1" s="1"/>
  <c r="G1125" i="1" l="1"/>
  <c r="AK1140" i="1"/>
  <c r="Z1133" i="1"/>
  <c r="N1145" i="1" s="1"/>
  <c r="M1147" i="1"/>
  <c r="K1149" i="1"/>
  <c r="W1137" i="1" s="1"/>
  <c r="Y1132" i="1"/>
  <c r="D412" i="1"/>
  <c r="AC516" i="1"/>
  <c r="W1115" i="1"/>
  <c r="S992" i="1"/>
  <c r="S997" i="1" s="1"/>
  <c r="AC997" i="1" s="1"/>
  <c r="G997" i="1" s="1"/>
  <c r="N1096" i="1"/>
  <c r="K1100" i="1"/>
  <c r="W1088" i="1" s="1"/>
  <c r="AP1058" i="1"/>
  <c r="AM1064" i="1" s="1"/>
  <c r="AJ1119" i="1"/>
  <c r="AL1115" i="1" s="1"/>
  <c r="AD1084" i="1"/>
  <c r="AM1091" i="1" s="1"/>
  <c r="N512" i="1"/>
  <c r="D515" i="1" s="1"/>
  <c r="S994" i="1"/>
  <c r="S988" i="1"/>
  <c r="AL245" i="1"/>
  <c r="Y182" i="1"/>
  <c r="S650" i="1"/>
  <c r="AK640" i="1" s="1"/>
  <c r="AU641" i="1" s="1"/>
  <c r="AP637" i="1" s="1"/>
  <c r="AT645" i="1" s="1"/>
  <c r="AY645" i="1" s="1"/>
  <c r="AC311" i="1"/>
  <c r="D310" i="1" s="1"/>
  <c r="V310" i="1" s="1"/>
  <c r="AC338" i="1"/>
  <c r="AI465" i="1"/>
  <c r="U466" i="1" s="1"/>
  <c r="AD352" i="1"/>
  <c r="Y357" i="1" s="1"/>
  <c r="D337" i="1"/>
  <c r="AU728" i="1"/>
  <c r="AR730" i="1" s="1"/>
  <c r="BA730" i="1" s="1"/>
  <c r="Y251" i="1"/>
  <c r="AF253" i="1"/>
  <c r="AI516" i="1"/>
  <c r="AL397" i="1"/>
  <c r="AA397" i="1"/>
  <c r="X400" i="1" s="1"/>
  <c r="AD376" i="1"/>
  <c r="Y379" i="1" s="1"/>
  <c r="V388" i="1"/>
  <c r="J388" i="1" s="1"/>
  <c r="X31" i="1"/>
  <c r="D43" i="1" s="1"/>
  <c r="V43" i="1" s="1"/>
  <c r="W205" i="1"/>
  <c r="AE206" i="1"/>
  <c r="AJ338" i="1"/>
  <c r="S1045" i="1"/>
  <c r="S1048" i="1" s="1"/>
  <c r="V364" i="1"/>
  <c r="J364" i="1" s="1"/>
  <c r="S577" i="1"/>
  <c r="G943" i="1"/>
  <c r="AC943" i="1" s="1"/>
  <c r="AD478" i="1"/>
  <c r="AA474" i="1" s="1"/>
  <c r="X491" i="1"/>
  <c r="I492" i="1" s="1"/>
  <c r="J490" i="1"/>
  <c r="P490" i="1" s="1"/>
  <c r="S878" i="1"/>
  <c r="S881" i="1" s="1"/>
  <c r="N542" i="1"/>
  <c r="X57" i="1"/>
  <c r="D69" i="1" s="1"/>
  <c r="V69" i="1" s="1"/>
  <c r="S820" i="1"/>
  <c r="S821" i="1" s="1"/>
  <c r="S793" i="1"/>
  <c r="BK786" i="1" s="1"/>
  <c r="S907" i="1"/>
  <c r="S910" i="1" s="1"/>
  <c r="AP913" i="1" s="1"/>
  <c r="S961" i="1"/>
  <c r="S964" i="1" s="1"/>
  <c r="AJ439" i="1"/>
  <c r="U440" i="1" s="1"/>
  <c r="AF61" i="1"/>
  <c r="S847" i="1"/>
  <c r="S849" i="1" s="1"/>
  <c r="AA423" i="1"/>
  <c r="S1040" i="1"/>
  <c r="S1043" i="1" s="1"/>
  <c r="S965" i="1"/>
  <c r="S968" i="1" s="1"/>
  <c r="G970" i="1" s="1"/>
  <c r="S678" i="1"/>
  <c r="AK668" i="1" s="1"/>
  <c r="AU669" i="1" s="1"/>
  <c r="AP665" i="1" s="1"/>
  <c r="AT673" i="1" s="1"/>
  <c r="S766" i="1"/>
  <c r="BK759" i="1" s="1"/>
  <c r="S1017" i="1"/>
  <c r="S1018" i="1"/>
  <c r="S1041" i="1"/>
  <c r="S934" i="1"/>
  <c r="S937" i="1" s="1"/>
  <c r="X82" i="1"/>
  <c r="D94" i="1" s="1"/>
  <c r="V94" i="1" s="1"/>
  <c r="AP376" i="1"/>
  <c r="AL373" i="1" s="1"/>
  <c r="N303" i="1"/>
  <c r="D438" i="1"/>
  <c r="V438" i="1" s="1"/>
  <c r="AI389" i="1"/>
  <c r="AP132" i="1"/>
  <c r="S707" i="1"/>
  <c r="AU698" i="1" s="1"/>
  <c r="BI726" i="1"/>
  <c r="AI729" i="1"/>
  <c r="N620" i="1"/>
  <c r="N621" i="1" s="1"/>
  <c r="AN609" i="1" s="1"/>
  <c r="N592" i="1"/>
  <c r="N595" i="1" s="1"/>
  <c r="N591" i="1"/>
  <c r="N594" i="1" s="1"/>
  <c r="N569" i="1"/>
  <c r="N571" i="1" s="1"/>
  <c r="AL79" i="1"/>
  <c r="AP82" i="1" s="1"/>
  <c r="AL176" i="1"/>
  <c r="AP274" i="1"/>
  <c r="AL271" i="1" s="1"/>
  <c r="I366" i="1"/>
  <c r="AL349" i="1"/>
  <c r="AP352" i="1" s="1"/>
  <c r="Y455" i="1"/>
  <c r="AO491" i="1"/>
  <c r="O492" i="1" s="1"/>
  <c r="AN482" i="1"/>
  <c r="AI478" i="1" s="1"/>
  <c r="AJ365" i="1"/>
  <c r="U366" i="1" s="1"/>
  <c r="AC413" i="1"/>
  <c r="D414" i="1" s="1"/>
  <c r="AL322" i="1"/>
  <c r="AP325" i="1" s="1"/>
  <c r="AN160" i="1"/>
  <c r="AI156" i="1" s="1"/>
  <c r="AL199" i="1"/>
  <c r="AI111" i="1"/>
  <c r="AL104" i="1"/>
  <c r="AP107" i="1" s="1"/>
  <c r="AF35" i="1"/>
  <c r="AL28" i="1"/>
  <c r="AP31" i="1" s="1"/>
  <c r="AL500" i="1" l="1"/>
  <c r="AP503" i="1" s="1"/>
  <c r="AC503" i="1"/>
  <c r="AB509" i="1" s="1"/>
  <c r="G1050" i="1"/>
  <c r="AC1050" i="1" s="1"/>
  <c r="S991" i="1"/>
  <c r="S996" i="1" s="1"/>
  <c r="W506" i="1"/>
  <c r="D517" i="1"/>
  <c r="BD637" i="1"/>
  <c r="AK897" i="1"/>
  <c r="AI900" i="1" s="1"/>
  <c r="BK900" i="1" s="1"/>
  <c r="BK813" i="1"/>
  <c r="BI809" i="1" s="1"/>
  <c r="AF825" i="1"/>
  <c r="J825" i="1"/>
  <c r="AU806" i="1"/>
  <c r="AX806" i="1" s="1"/>
  <c r="V573" i="1"/>
  <c r="J573" i="1" s="1"/>
  <c r="AG566" i="1"/>
  <c r="AG562" i="1" s="1"/>
  <c r="AP554" i="1"/>
  <c r="AT558" i="1" s="1"/>
  <c r="AM843" i="1"/>
  <c r="AP845" i="1"/>
  <c r="D852" i="1"/>
  <c r="AF852" i="1" s="1"/>
  <c r="AU833" i="1"/>
  <c r="AX833" i="1" s="1"/>
  <c r="AI844" i="1"/>
  <c r="AO759" i="1"/>
  <c r="AN763" i="1" s="1"/>
  <c r="AF771" i="1"/>
  <c r="J771" i="1" s="1"/>
  <c r="AU752" i="1"/>
  <c r="AX752" i="1" s="1"/>
  <c r="AE430" i="1"/>
  <c r="AI430" i="1" s="1"/>
  <c r="N543" i="1"/>
  <c r="AP884" i="1"/>
  <c r="AK868" i="1"/>
  <c r="AI871" i="1" s="1"/>
  <c r="BK871" i="1" s="1"/>
  <c r="AF798" i="1"/>
  <c r="J798" i="1" s="1"/>
  <c r="AO786" i="1"/>
  <c r="AN790" i="1" s="1"/>
  <c r="S795" i="1"/>
  <c r="AK697" i="1"/>
  <c r="BI697" i="1" s="1"/>
  <c r="AO1007" i="1"/>
  <c r="BK1007" i="1" s="1"/>
  <c r="S966" i="1"/>
  <c r="S967" i="1"/>
  <c r="AO954" i="1" s="1"/>
  <c r="AI1020" i="1"/>
  <c r="AC970" i="1"/>
  <c r="S939" i="1"/>
  <c r="S940" i="1"/>
  <c r="BI640" i="1"/>
  <c r="AX641" i="1"/>
  <c r="D546" i="1"/>
  <c r="V546" i="1" s="1"/>
  <c r="AI643" i="1"/>
  <c r="D312" i="1"/>
  <c r="AJ311" i="1"/>
  <c r="U312" i="1" s="1"/>
  <c r="X298" i="1"/>
  <c r="AP298" i="1" s="1"/>
  <c r="BI782" i="1"/>
  <c r="AU779" i="1" s="1"/>
  <c r="BI836" i="1"/>
  <c r="BK840" i="1" s="1"/>
  <c r="AI671" i="1"/>
  <c r="BI755" i="1"/>
  <c r="BD913" i="1"/>
  <c r="AE914" i="1" s="1"/>
  <c r="D914" i="1"/>
  <c r="BI668" i="1"/>
  <c r="X426" i="1"/>
  <c r="AL423" i="1"/>
  <c r="AP426" i="1" s="1"/>
  <c r="AX728" i="1"/>
  <c r="AO813" i="1"/>
  <c r="AN817" i="1" s="1"/>
  <c r="S1044" i="1"/>
  <c r="AX698" i="1"/>
  <c r="AB612" i="1"/>
  <c r="AD608" i="1" s="1"/>
  <c r="J624" i="1"/>
  <c r="P624" i="1" s="1"/>
  <c r="AR613" i="1"/>
  <c r="AL614" i="1" s="1"/>
  <c r="V412" i="1"/>
  <c r="D741" i="1"/>
  <c r="AF741" i="1" s="1"/>
  <c r="BK729" i="1"/>
  <c r="AX669" i="1"/>
  <c r="N596" i="1"/>
  <c r="N597" i="1" s="1"/>
  <c r="AF593" i="1" s="1"/>
  <c r="AE404" i="1"/>
  <c r="AP400" i="1"/>
  <c r="U517" i="1"/>
  <c r="U339" i="1"/>
  <c r="D339" i="1"/>
  <c r="AD452" i="1"/>
  <c r="G468" i="1"/>
  <c r="S468" i="1" s="1"/>
  <c r="AP452" i="1"/>
  <c r="AL449" i="1" s="1"/>
  <c r="X325" i="1"/>
  <c r="V337" i="1" s="1"/>
  <c r="AF329" i="1"/>
  <c r="J168" i="1"/>
  <c r="P168" i="1" s="1"/>
  <c r="G218" i="1"/>
  <c r="V214" i="1"/>
  <c r="BI980" i="1" l="1"/>
  <c r="BJ982" i="1" s="1"/>
  <c r="AO981" i="1"/>
  <c r="AM984" i="1" s="1"/>
  <c r="S995" i="1"/>
  <c r="AU947" i="1"/>
  <c r="AF939" i="1"/>
  <c r="AU920" i="1"/>
  <c r="S794" i="1"/>
  <c r="AX779" i="1" s="1"/>
  <c r="AI700" i="1"/>
  <c r="D712" i="1" s="1"/>
  <c r="AF712" i="1" s="1"/>
  <c r="D655" i="1"/>
  <c r="AF655" i="1" s="1"/>
  <c r="D912" i="1"/>
  <c r="AF912" i="1" s="1"/>
  <c r="AU869" i="1"/>
  <c r="AP865" i="1" s="1"/>
  <c r="AT873" i="1" s="1"/>
  <c r="AY873" i="1" s="1"/>
  <c r="D883" i="1"/>
  <c r="AF883" i="1" s="1"/>
  <c r="BD967" i="1"/>
  <c r="AE968" i="1" s="1"/>
  <c r="AF966" i="1"/>
  <c r="J966" i="1" s="1"/>
  <c r="AX947" i="1" s="1"/>
  <c r="AO927" i="1"/>
  <c r="AM931" i="1" s="1"/>
  <c r="BK927" i="1"/>
  <c r="AH528" i="1"/>
  <c r="G550" i="1"/>
  <c r="BI868" i="1"/>
  <c r="BD940" i="1"/>
  <c r="AE941" i="1" s="1"/>
  <c r="AI940" i="1"/>
  <c r="I941" i="1" s="1"/>
  <c r="J939" i="1"/>
  <c r="AP527" i="1"/>
  <c r="AT531" i="1" s="1"/>
  <c r="I1021" i="1"/>
  <c r="G1023" i="1"/>
  <c r="AC1023" i="1" s="1"/>
  <c r="S550" i="1"/>
  <c r="BK671" i="1"/>
  <c r="D683" i="1"/>
  <c r="AF683" i="1" s="1"/>
  <c r="S1046" i="1"/>
  <c r="S1047" i="1"/>
  <c r="AD530" i="1"/>
  <c r="AB534" i="1" s="1"/>
  <c r="AU898" i="1"/>
  <c r="AX898" i="1" s="1"/>
  <c r="BK643" i="1"/>
  <c r="BD884" i="1"/>
  <c r="AE885" i="1" s="1"/>
  <c r="D885" i="1"/>
  <c r="AA295" i="1"/>
  <c r="BI897" i="1"/>
  <c r="V515" i="1"/>
  <c r="AE507" i="1" s="1"/>
  <c r="BK954" i="1"/>
  <c r="BI950" i="1" s="1"/>
  <c r="AN958" i="1"/>
  <c r="BD1020" i="1"/>
  <c r="AE1021" i="1" s="1"/>
  <c r="AI967" i="1"/>
  <c r="I968" i="1" s="1"/>
  <c r="BI1003" i="1"/>
  <c r="AN1011" i="1"/>
  <c r="AG589" i="1"/>
  <c r="AJ592" i="1" s="1"/>
  <c r="V600" i="1"/>
  <c r="J600" i="1" s="1"/>
  <c r="AP581" i="1"/>
  <c r="AT585" i="1" s="1"/>
  <c r="AU1027" i="1" l="1"/>
  <c r="AX1027" i="1" s="1"/>
  <c r="D993" i="1"/>
  <c r="AF993" i="1" s="1"/>
  <c r="AO986" i="1" s="1"/>
  <c r="AI994" i="1"/>
  <c r="BD994" i="1"/>
  <c r="AE995" i="1" s="1"/>
  <c r="AU974" i="1"/>
  <c r="AX974" i="1" s="1"/>
  <c r="AL536" i="1"/>
  <c r="AX869" i="1"/>
  <c r="BK700" i="1"/>
  <c r="BD865" i="1"/>
  <c r="AF1046" i="1"/>
  <c r="J1046" i="1" s="1"/>
  <c r="AL295" i="1"/>
  <c r="AF302" i="1"/>
  <c r="AO1034" i="1"/>
  <c r="AN1038" i="1" s="1"/>
  <c r="AI1047" i="1"/>
  <c r="I1048" i="1" s="1"/>
  <c r="BI923" i="1"/>
  <c r="AX920" i="1"/>
  <c r="BK1034" i="1"/>
  <c r="BI1030" i="1" s="1"/>
  <c r="BD1047" i="1"/>
  <c r="AE1048" i="1" s="1"/>
  <c r="AH985" i="1" l="1"/>
  <c r="I995" i="1"/>
</calcChain>
</file>

<file path=xl/sharedStrings.xml><?xml version="1.0" encoding="utf-8"?>
<sst xmlns="http://schemas.openxmlformats.org/spreadsheetml/2006/main" count="1195" uniqueCount="47">
  <si>
    <t>m</t>
  </si>
  <si>
    <t>h =</t>
  </si>
  <si>
    <t>L=</t>
  </si>
  <si>
    <t>cm4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</si>
  <si>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</t>
    </r>
  </si>
  <si>
    <t>KN/m</t>
  </si>
  <si>
    <t>k=</t>
  </si>
  <si>
    <t>N=</t>
  </si>
  <si>
    <t>KN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</si>
  <si>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</si>
  <si>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>=</t>
    </r>
  </si>
  <si>
    <t>KNm</t>
  </si>
  <si>
    <t>N1 =</t>
  </si>
  <si>
    <t>N2 =</t>
  </si>
  <si>
    <t>k =</t>
  </si>
  <si>
    <r>
      <rPr>
        <sz val="8"/>
        <color theme="1"/>
        <rFont val="Symbol"/>
        <family val="1"/>
        <charset val="2"/>
      </rPr>
      <t xml:space="preserve">b 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</si>
  <si>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 xml:space="preserve">a </t>
    </r>
    <r>
      <rPr>
        <sz val="8"/>
        <color theme="1"/>
        <rFont val="Arial"/>
        <family val="2"/>
        <charset val="162"/>
      </rPr>
      <t>=</t>
    </r>
  </si>
  <si>
    <t>x3 =</t>
  </si>
  <si>
    <t>x2 =</t>
  </si>
  <si>
    <t>x1 =</t>
  </si>
  <si>
    <t>h1 =</t>
  </si>
  <si>
    <t>h2 =</t>
  </si>
  <si>
    <t>k1 =</t>
  </si>
  <si>
    <t>k2 =</t>
  </si>
  <si>
    <t>n =</t>
  </si>
  <si>
    <t>B =</t>
  </si>
  <si>
    <t>C =</t>
  </si>
  <si>
    <t>N =</t>
  </si>
  <si>
    <t>s =</t>
  </si>
  <si>
    <t>X 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</si>
  <si>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 =</t>
    </r>
  </si>
  <si>
    <t>m =</t>
  </si>
  <si>
    <t>K1 =</t>
  </si>
  <si>
    <t>K2 =</t>
  </si>
  <si>
    <t>R =</t>
  </si>
  <si>
    <t>X1 =</t>
  </si>
  <si>
    <t>X2 =</t>
  </si>
  <si>
    <t>X3 =</t>
  </si>
  <si>
    <t>Dikkat sadece sarı hücrelere data girilecek.</t>
  </si>
  <si>
    <t>moment diyagramı (KNm)</t>
  </si>
  <si>
    <t>Yandaki hesaplar Prof.Dr.Enver Çetmeli "Çubuk Sistemler" adlı kitaptan yararlanılmıştır.</t>
  </si>
  <si>
    <t>G1 =</t>
  </si>
  <si>
    <t>U1 =</t>
  </si>
  <si>
    <t>U2 =</t>
  </si>
  <si>
    <r>
      <rPr>
        <b/>
        <sz val="12"/>
        <color theme="7" tint="-0.499984740745262"/>
        <rFont val="Arial"/>
        <family val="2"/>
        <charset val="162"/>
      </rPr>
      <t xml:space="preserve">SABİT MESNETLİ HİPERSTATİK ÇERÇEVE MOMENT HESAPLARI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</si>
  <si>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ANKASTRE MESNETLİ HİPERSTATİK ÇERÇEVE MOMENT HESAPLARI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</si>
  <si>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Yandaki hesaplar Prof.Dr.Ing.A.KLEINLOGEL "RIGID FRAMES FORMULAS" adlı kitabından yararlanılmıştır.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</si>
</sst>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sz val="8"/>
      <color theme="1"/>
      <name val="Arial"/>
      <family val="1"/>
      <charset val="162"/>
    </font>
    <font>
      <b/>
      <sz val="8"/>
      <color rgb="FFFF0000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2" fillId="0" borderId="0" xfId="0" applyFont="1" applyAlignment="1" applyProtection="1">
      <alignment horizontal="center" vertical="center" textRotation="90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5</xdr:row>
      <xdr:rowOff>33339</xdr:rowOff>
    </xdr:from>
    <xdr:to>
      <xdr:col>22</xdr:col>
      <xdr:colOff>4762</xdr:colOff>
      <xdr:row>25</xdr:row>
      <xdr:rowOff>66675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501F4C30-CD3A-782E-7151-894A2E391D4A}"/>
            </a:ext>
          </a:extLst>
        </xdr:cNvPr>
        <xdr:cNvGrpSpPr/>
      </xdr:nvGrpSpPr>
      <xdr:grpSpPr>
        <a:xfrm>
          <a:off x="400050" y="1195389"/>
          <a:ext cx="3167062" cy="2890836"/>
          <a:chOff x="561975" y="1195389"/>
          <a:chExt cx="3167062" cy="2890836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D368B6C-B7AA-8744-C82C-E045E42B65FC}"/>
              </a:ext>
            </a:extLst>
          </xdr:cNvPr>
          <xdr:cNvSpPr/>
        </xdr:nvSpPr>
        <xdr:spPr>
          <a:xfrm>
            <a:off x="1138238" y="31670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Freeform: Shape 2">
            <a:extLst>
              <a:ext uri="{FF2B5EF4-FFF2-40B4-BE49-F238E27FC236}">
                <a16:creationId xmlns:a16="http://schemas.microsoft.com/office/drawing/2014/main" id="{D6B31295-030D-B6C1-C1D2-939EA6053D8E}"/>
              </a:ext>
            </a:extLst>
          </xdr:cNvPr>
          <xdr:cNvSpPr/>
        </xdr:nvSpPr>
        <xdr:spPr>
          <a:xfrm>
            <a:off x="1295401" y="14478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7D4CE139-1BB4-89C6-D971-F64D7CA12CBF}"/>
              </a:ext>
            </a:extLst>
          </xdr:cNvPr>
          <xdr:cNvSpPr/>
        </xdr:nvSpPr>
        <xdr:spPr>
          <a:xfrm>
            <a:off x="1243014" y="30527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39F6F191-6BB8-4D2E-B6B4-4C47919B0B85}"/>
              </a:ext>
            </a:extLst>
          </xdr:cNvPr>
          <xdr:cNvSpPr/>
        </xdr:nvSpPr>
        <xdr:spPr>
          <a:xfrm>
            <a:off x="3186114" y="30575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7BCB16B8-B93B-AFCE-24CD-0B473F15E551}"/>
              </a:ext>
            </a:extLst>
          </xdr:cNvPr>
          <xdr:cNvCxnSpPr/>
        </xdr:nvCxnSpPr>
        <xdr:spPr>
          <a:xfrm>
            <a:off x="1133475" y="31622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7CCC2CA9-3089-4E6D-B9D9-8B7A8DFA711D}"/>
              </a:ext>
            </a:extLst>
          </xdr:cNvPr>
          <xdr:cNvSpPr/>
        </xdr:nvSpPr>
        <xdr:spPr>
          <a:xfrm>
            <a:off x="3081338" y="31718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17FEA24A-3C9D-4307-8461-E864974372AC}"/>
              </a:ext>
            </a:extLst>
          </xdr:cNvPr>
          <xdr:cNvCxnSpPr/>
        </xdr:nvCxnSpPr>
        <xdr:spPr>
          <a:xfrm>
            <a:off x="3076575" y="31670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9BBFD2D4-D343-50FD-5C9A-653687E1CB92}"/>
              </a:ext>
            </a:extLst>
          </xdr:cNvPr>
          <xdr:cNvCxnSpPr/>
        </xdr:nvCxnSpPr>
        <xdr:spPr>
          <a:xfrm>
            <a:off x="1295401" y="12049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E3C0BACB-4018-027C-2888-28E69B9C4300}"/>
              </a:ext>
            </a:extLst>
          </xdr:cNvPr>
          <xdr:cNvCxnSpPr/>
        </xdr:nvCxnSpPr>
        <xdr:spPr>
          <a:xfrm>
            <a:off x="1290639" y="1195389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59B0CA87-3D93-4FB5-951F-F2B1733A5C9F}"/>
              </a:ext>
            </a:extLst>
          </xdr:cNvPr>
          <xdr:cNvCxnSpPr/>
        </xdr:nvCxnSpPr>
        <xdr:spPr>
          <a:xfrm>
            <a:off x="1457326" y="12049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B9FD1870-2A9E-4138-8836-72C9837CF501}"/>
              </a:ext>
            </a:extLst>
          </xdr:cNvPr>
          <xdr:cNvCxnSpPr/>
        </xdr:nvCxnSpPr>
        <xdr:spPr>
          <a:xfrm>
            <a:off x="1619252" y="12049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462C9355-D90D-481D-B0BB-BDEB3BE1A1FC}"/>
              </a:ext>
            </a:extLst>
          </xdr:cNvPr>
          <xdr:cNvCxnSpPr/>
        </xdr:nvCxnSpPr>
        <xdr:spPr>
          <a:xfrm>
            <a:off x="1781177" y="12049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5F71908F-92FE-4FF5-A126-FB377DB36619}"/>
              </a:ext>
            </a:extLst>
          </xdr:cNvPr>
          <xdr:cNvCxnSpPr/>
        </xdr:nvCxnSpPr>
        <xdr:spPr>
          <a:xfrm>
            <a:off x="1943101" y="1200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D335F698-64CD-4094-9DB6-8E5B2688388E}"/>
              </a:ext>
            </a:extLst>
          </xdr:cNvPr>
          <xdr:cNvCxnSpPr/>
        </xdr:nvCxnSpPr>
        <xdr:spPr>
          <a:xfrm>
            <a:off x="2105026" y="1200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380268F0-BD33-4575-8B61-47B620BFAC62}"/>
              </a:ext>
            </a:extLst>
          </xdr:cNvPr>
          <xdr:cNvCxnSpPr/>
        </xdr:nvCxnSpPr>
        <xdr:spPr>
          <a:xfrm>
            <a:off x="2266952" y="1200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D20D5F6A-C8DB-43DE-BD43-25181EF51418}"/>
              </a:ext>
            </a:extLst>
          </xdr:cNvPr>
          <xdr:cNvCxnSpPr/>
        </xdr:nvCxnSpPr>
        <xdr:spPr>
          <a:xfrm>
            <a:off x="2428877" y="1200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C0A764BB-672E-4FC1-9A23-8F979B3C44BB}"/>
              </a:ext>
            </a:extLst>
          </xdr:cNvPr>
          <xdr:cNvCxnSpPr/>
        </xdr:nvCxnSpPr>
        <xdr:spPr>
          <a:xfrm>
            <a:off x="2590800" y="1204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5C07CEC8-A2E7-4F93-99C5-9771922DE012}"/>
              </a:ext>
            </a:extLst>
          </xdr:cNvPr>
          <xdr:cNvCxnSpPr/>
        </xdr:nvCxnSpPr>
        <xdr:spPr>
          <a:xfrm>
            <a:off x="2752725" y="1204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0AF4DFA9-71A2-4F35-BEBF-4C540DCA6758}"/>
              </a:ext>
            </a:extLst>
          </xdr:cNvPr>
          <xdr:cNvCxnSpPr/>
        </xdr:nvCxnSpPr>
        <xdr:spPr>
          <a:xfrm>
            <a:off x="2914651" y="1204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116DF021-8761-44F2-9543-A47110682D0C}"/>
              </a:ext>
            </a:extLst>
          </xdr:cNvPr>
          <xdr:cNvCxnSpPr/>
        </xdr:nvCxnSpPr>
        <xdr:spPr>
          <a:xfrm>
            <a:off x="3076576" y="1204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51DF9BA8-0402-4121-88B0-0AA110DFAD22}"/>
              </a:ext>
            </a:extLst>
          </xdr:cNvPr>
          <xdr:cNvCxnSpPr/>
        </xdr:nvCxnSpPr>
        <xdr:spPr>
          <a:xfrm>
            <a:off x="3238501" y="1204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B5699430-70F0-DD8B-3D17-F94AB54ED8CC}"/>
              </a:ext>
            </a:extLst>
          </xdr:cNvPr>
          <xdr:cNvCxnSpPr/>
        </xdr:nvCxnSpPr>
        <xdr:spPr>
          <a:xfrm>
            <a:off x="561975" y="144780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870CD3B9-71BC-261B-024F-75212DE8B282}"/>
              </a:ext>
            </a:extLst>
          </xdr:cNvPr>
          <xdr:cNvCxnSpPr/>
        </xdr:nvCxnSpPr>
        <xdr:spPr>
          <a:xfrm>
            <a:off x="647701" y="13668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83C135A8-92F7-C2D1-74F6-CB7139432388}"/>
              </a:ext>
            </a:extLst>
          </xdr:cNvPr>
          <xdr:cNvCxnSpPr/>
        </xdr:nvCxnSpPr>
        <xdr:spPr>
          <a:xfrm flipH="1">
            <a:off x="609600" y="14096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CEC32EF4-FE2D-4BF8-B8DE-6F7CEF0310B8}"/>
              </a:ext>
            </a:extLst>
          </xdr:cNvPr>
          <xdr:cNvCxnSpPr/>
        </xdr:nvCxnSpPr>
        <xdr:spPr>
          <a:xfrm>
            <a:off x="561976" y="31623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A5AD659D-2E5C-452F-94C8-6DEBABC41AD5}"/>
              </a:ext>
            </a:extLst>
          </xdr:cNvPr>
          <xdr:cNvCxnSpPr/>
        </xdr:nvCxnSpPr>
        <xdr:spPr>
          <a:xfrm flipH="1">
            <a:off x="609601" y="31242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D0BFB660-9354-2C9A-1DDC-C3C5C19AA533}"/>
              </a:ext>
            </a:extLst>
          </xdr:cNvPr>
          <xdr:cNvCxnSpPr/>
        </xdr:nvCxnSpPr>
        <xdr:spPr>
          <a:xfrm>
            <a:off x="1295400" y="37861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550F6B68-2241-C07A-0DA0-971B5E6D7EE0}"/>
              </a:ext>
            </a:extLst>
          </xdr:cNvPr>
          <xdr:cNvCxnSpPr/>
        </xdr:nvCxnSpPr>
        <xdr:spPr>
          <a:xfrm>
            <a:off x="1214439" y="401955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D791E3A8-9ED9-4452-94D0-8D5EA844C2B6}"/>
              </a:ext>
            </a:extLst>
          </xdr:cNvPr>
          <xdr:cNvCxnSpPr/>
        </xdr:nvCxnSpPr>
        <xdr:spPr>
          <a:xfrm flipH="1">
            <a:off x="1257302" y="39814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10CFAD20-CD72-4310-AC89-3958749F360E}"/>
              </a:ext>
            </a:extLst>
          </xdr:cNvPr>
          <xdr:cNvCxnSpPr/>
        </xdr:nvCxnSpPr>
        <xdr:spPr>
          <a:xfrm>
            <a:off x="3238503" y="38004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13319B7A-5B89-46C7-8E88-B3CA5244468A}"/>
              </a:ext>
            </a:extLst>
          </xdr:cNvPr>
          <xdr:cNvCxnSpPr/>
        </xdr:nvCxnSpPr>
        <xdr:spPr>
          <a:xfrm flipH="1">
            <a:off x="3200405" y="39814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85C6BBEB-4902-5AE2-E1AE-16995B11611B}"/>
              </a:ext>
            </a:extLst>
          </xdr:cNvPr>
          <xdr:cNvCxnSpPr/>
        </xdr:nvCxnSpPr>
        <xdr:spPr>
          <a:xfrm flipV="1">
            <a:off x="1295400" y="32861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35DD6D0C-FF29-41A4-A5E9-753E925D534A}"/>
              </a:ext>
            </a:extLst>
          </xdr:cNvPr>
          <xdr:cNvCxnSpPr/>
        </xdr:nvCxnSpPr>
        <xdr:spPr>
          <a:xfrm flipV="1">
            <a:off x="3238500" y="32861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06B29048-48AB-B8A8-B740-AB0BA7A7AE93}"/>
              </a:ext>
            </a:extLst>
          </xdr:cNvPr>
          <xdr:cNvCxnSpPr/>
        </xdr:nvCxnSpPr>
        <xdr:spPr>
          <a:xfrm>
            <a:off x="823913" y="31622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B912CB52-8BCB-4496-B4C9-19CA26AC1C4D}"/>
              </a:ext>
            </a:extLst>
          </xdr:cNvPr>
          <xdr:cNvCxnSpPr/>
        </xdr:nvCxnSpPr>
        <xdr:spPr>
          <a:xfrm flipH="1">
            <a:off x="3419474" y="31623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3</xdr:row>
      <xdr:rowOff>138113</xdr:rowOff>
    </xdr:from>
    <xdr:to>
      <xdr:col>41</xdr:col>
      <xdr:colOff>157163</xdr:colOff>
      <xdr:row>19</xdr:row>
      <xdr:rowOff>4763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A31F594D-FBDA-3708-B029-73DA0B633A82}"/>
            </a:ext>
          </a:extLst>
        </xdr:cNvPr>
        <xdr:cNvGrpSpPr/>
      </xdr:nvGrpSpPr>
      <xdr:grpSpPr>
        <a:xfrm>
          <a:off x="3886200" y="1014413"/>
          <a:ext cx="2909888" cy="2152650"/>
          <a:chOff x="4048125" y="1014413"/>
          <a:chExt cx="2909888" cy="2152650"/>
        </a:xfrm>
      </xdr:grpSpPr>
      <xdr:sp macro="" textlink="">
        <xdr:nvSpPr>
          <xdr:cNvPr id="68" name="Freeform: Shape 67">
            <a:extLst>
              <a:ext uri="{FF2B5EF4-FFF2-40B4-BE49-F238E27FC236}">
                <a16:creationId xmlns:a16="http://schemas.microsoft.com/office/drawing/2014/main" id="{256D2FCA-732C-47C3-BFC1-B4A63351B3FA}"/>
              </a:ext>
            </a:extLst>
          </xdr:cNvPr>
          <xdr:cNvSpPr/>
        </xdr:nvSpPr>
        <xdr:spPr>
          <a:xfrm>
            <a:off x="4533897" y="14478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43A5DBD8-A82B-5692-04C4-9F9CEC0C2F28}"/>
              </a:ext>
            </a:extLst>
          </xdr:cNvPr>
          <xdr:cNvCxnSpPr/>
        </xdr:nvCxnSpPr>
        <xdr:spPr>
          <a:xfrm flipV="1">
            <a:off x="4533901" y="1014413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499DAC19-F6D9-4067-B355-1420F2C7F96F}"/>
              </a:ext>
            </a:extLst>
          </xdr:cNvPr>
          <xdr:cNvCxnSpPr/>
        </xdr:nvCxnSpPr>
        <xdr:spPr>
          <a:xfrm flipV="1">
            <a:off x="6477001" y="1028700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5" name="Freeform: Shape 74">
            <a:extLst>
              <a:ext uri="{FF2B5EF4-FFF2-40B4-BE49-F238E27FC236}">
                <a16:creationId xmlns:a16="http://schemas.microsoft.com/office/drawing/2014/main" id="{122EDA19-6BED-81C7-C2B4-53D865BD9C3F}"/>
              </a:ext>
            </a:extLst>
          </xdr:cNvPr>
          <xdr:cNvSpPr/>
        </xdr:nvSpPr>
        <xdr:spPr>
          <a:xfrm>
            <a:off x="4533900" y="1019175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6" name="Freeform: Shape 75">
            <a:extLst>
              <a:ext uri="{FF2B5EF4-FFF2-40B4-BE49-F238E27FC236}">
                <a16:creationId xmlns:a16="http://schemas.microsoft.com/office/drawing/2014/main" id="{A3F643DF-7BFA-777C-A27D-B388CE63D389}"/>
              </a:ext>
            </a:extLst>
          </xdr:cNvPr>
          <xdr:cNvSpPr/>
        </xdr:nvSpPr>
        <xdr:spPr>
          <a:xfrm>
            <a:off x="4048125" y="1447800"/>
            <a:ext cx="490538" cy="1719263"/>
          </a:xfrm>
          <a:custGeom>
            <a:avLst/>
            <a:gdLst>
              <a:gd name="connsiteX0" fmla="*/ 485775 w 490538"/>
              <a:gd name="connsiteY0" fmla="*/ 1719263 h 1719263"/>
              <a:gd name="connsiteX1" fmla="*/ 0 w 490538"/>
              <a:gd name="connsiteY1" fmla="*/ 0 h 1719263"/>
              <a:gd name="connsiteX2" fmla="*/ 490538 w 490538"/>
              <a:gd name="connsiteY2" fmla="*/ 0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8" h="1719263">
                <a:moveTo>
                  <a:pt x="485775" y="1719263"/>
                </a:moveTo>
                <a:lnTo>
                  <a:pt x="0" y="0"/>
                </a:lnTo>
                <a:lnTo>
                  <a:pt x="490538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7" name="Freeform: Shape 76">
            <a:extLst>
              <a:ext uri="{FF2B5EF4-FFF2-40B4-BE49-F238E27FC236}">
                <a16:creationId xmlns:a16="http://schemas.microsoft.com/office/drawing/2014/main" id="{585A54E9-E11A-682D-4B98-E6C7CC1039BB}"/>
              </a:ext>
            </a:extLst>
          </xdr:cNvPr>
          <xdr:cNvSpPr/>
        </xdr:nvSpPr>
        <xdr:spPr>
          <a:xfrm>
            <a:off x="6472238" y="1447800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FD61723D-89B3-AF16-2B90-780E39651214}"/>
              </a:ext>
            </a:extLst>
          </xdr:cNvPr>
          <xdr:cNvCxnSpPr/>
        </xdr:nvCxnSpPr>
        <xdr:spPr>
          <a:xfrm flipV="1">
            <a:off x="5505450" y="1452563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27</xdr:row>
      <xdr:rowOff>138113</xdr:rowOff>
    </xdr:from>
    <xdr:to>
      <xdr:col>41</xdr:col>
      <xdr:colOff>157163</xdr:colOff>
      <xdr:row>43</xdr:row>
      <xdr:rowOff>4763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7C7A64C9-704B-DB48-40BD-A2AA9844CC88}"/>
            </a:ext>
          </a:extLst>
        </xdr:cNvPr>
        <xdr:cNvGrpSpPr/>
      </xdr:nvGrpSpPr>
      <xdr:grpSpPr>
        <a:xfrm>
          <a:off x="3886200" y="4443413"/>
          <a:ext cx="2909888" cy="2152650"/>
          <a:chOff x="4048125" y="4443413"/>
          <a:chExt cx="2909888" cy="2152650"/>
        </a:xfrm>
      </xdr:grpSpPr>
      <xdr:sp macro="" textlink="">
        <xdr:nvSpPr>
          <xdr:cNvPr id="116" name="Freeform: Shape 115">
            <a:extLst>
              <a:ext uri="{FF2B5EF4-FFF2-40B4-BE49-F238E27FC236}">
                <a16:creationId xmlns:a16="http://schemas.microsoft.com/office/drawing/2014/main" id="{9F238870-64E5-4F97-B3B7-16397307F775}"/>
              </a:ext>
            </a:extLst>
          </xdr:cNvPr>
          <xdr:cNvSpPr/>
        </xdr:nvSpPr>
        <xdr:spPr>
          <a:xfrm>
            <a:off x="4533897" y="48768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0BC652F8-0A01-4318-9F4B-9BF0BF7BA28A}"/>
              </a:ext>
            </a:extLst>
          </xdr:cNvPr>
          <xdr:cNvCxnSpPr/>
        </xdr:nvCxnSpPr>
        <xdr:spPr>
          <a:xfrm flipV="1">
            <a:off x="4533901" y="4443413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373B4B5B-9D90-4153-8332-A7A9B582B556}"/>
              </a:ext>
            </a:extLst>
          </xdr:cNvPr>
          <xdr:cNvCxnSpPr/>
        </xdr:nvCxnSpPr>
        <xdr:spPr>
          <a:xfrm flipV="1">
            <a:off x="6477001" y="4457700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9" name="Freeform: Shape 118">
            <a:extLst>
              <a:ext uri="{FF2B5EF4-FFF2-40B4-BE49-F238E27FC236}">
                <a16:creationId xmlns:a16="http://schemas.microsoft.com/office/drawing/2014/main" id="{5B78C6A3-C552-4F55-BD3B-55B6A031C19D}"/>
              </a:ext>
            </a:extLst>
          </xdr:cNvPr>
          <xdr:cNvSpPr/>
        </xdr:nvSpPr>
        <xdr:spPr>
          <a:xfrm>
            <a:off x="4533900" y="4448175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0" name="Freeform: Shape 119">
            <a:extLst>
              <a:ext uri="{FF2B5EF4-FFF2-40B4-BE49-F238E27FC236}">
                <a16:creationId xmlns:a16="http://schemas.microsoft.com/office/drawing/2014/main" id="{BC3173D5-B818-41C8-B992-24333FFA6BFA}"/>
              </a:ext>
            </a:extLst>
          </xdr:cNvPr>
          <xdr:cNvSpPr/>
        </xdr:nvSpPr>
        <xdr:spPr>
          <a:xfrm>
            <a:off x="4048125" y="4876800"/>
            <a:ext cx="490538" cy="1719263"/>
          </a:xfrm>
          <a:custGeom>
            <a:avLst/>
            <a:gdLst>
              <a:gd name="connsiteX0" fmla="*/ 485775 w 490538"/>
              <a:gd name="connsiteY0" fmla="*/ 1719263 h 1719263"/>
              <a:gd name="connsiteX1" fmla="*/ 0 w 490538"/>
              <a:gd name="connsiteY1" fmla="*/ 0 h 1719263"/>
              <a:gd name="connsiteX2" fmla="*/ 490538 w 490538"/>
              <a:gd name="connsiteY2" fmla="*/ 0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8" h="1719263">
                <a:moveTo>
                  <a:pt x="485775" y="1719263"/>
                </a:moveTo>
                <a:lnTo>
                  <a:pt x="0" y="0"/>
                </a:lnTo>
                <a:lnTo>
                  <a:pt x="490538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1" name="Freeform: Shape 120">
            <a:extLst>
              <a:ext uri="{FF2B5EF4-FFF2-40B4-BE49-F238E27FC236}">
                <a16:creationId xmlns:a16="http://schemas.microsoft.com/office/drawing/2014/main" id="{32F757E6-2AC2-4342-92AF-D08634B4E38C}"/>
              </a:ext>
            </a:extLst>
          </xdr:cNvPr>
          <xdr:cNvSpPr/>
        </xdr:nvSpPr>
        <xdr:spPr>
          <a:xfrm>
            <a:off x="6472238" y="4876800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F1F285C8-46CA-485B-8766-108DBC8EACA1}"/>
              </a:ext>
            </a:extLst>
          </xdr:cNvPr>
          <xdr:cNvCxnSpPr/>
        </xdr:nvCxnSpPr>
        <xdr:spPr>
          <a:xfrm flipV="1">
            <a:off x="5505450" y="4881563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29</xdr:row>
      <xdr:rowOff>33339</xdr:rowOff>
    </xdr:from>
    <xdr:to>
      <xdr:col>22</xdr:col>
      <xdr:colOff>4762</xdr:colOff>
      <xdr:row>51</xdr:row>
      <xdr:rowOff>66675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D70F9B3E-6955-3BC9-E198-D13DE60CA338}"/>
            </a:ext>
          </a:extLst>
        </xdr:cNvPr>
        <xdr:cNvGrpSpPr/>
      </xdr:nvGrpSpPr>
      <xdr:grpSpPr>
        <a:xfrm>
          <a:off x="400050" y="4624389"/>
          <a:ext cx="3167062" cy="3176586"/>
          <a:chOff x="561975" y="4624389"/>
          <a:chExt cx="3167062" cy="3176586"/>
        </a:xfrm>
      </xdr:grpSpPr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FD7A23E0-AD0F-496D-831B-ADF7AA5483D7}"/>
              </a:ext>
            </a:extLst>
          </xdr:cNvPr>
          <xdr:cNvSpPr/>
        </xdr:nvSpPr>
        <xdr:spPr>
          <a:xfrm>
            <a:off x="1138238" y="65960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" name="Freeform: Shape 81">
            <a:extLst>
              <a:ext uri="{FF2B5EF4-FFF2-40B4-BE49-F238E27FC236}">
                <a16:creationId xmlns:a16="http://schemas.microsoft.com/office/drawing/2014/main" id="{7C1438BD-7B3C-47D0-937F-992F94610381}"/>
              </a:ext>
            </a:extLst>
          </xdr:cNvPr>
          <xdr:cNvSpPr/>
        </xdr:nvSpPr>
        <xdr:spPr>
          <a:xfrm>
            <a:off x="1295401" y="48768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3" name="Oval 82">
            <a:extLst>
              <a:ext uri="{FF2B5EF4-FFF2-40B4-BE49-F238E27FC236}">
                <a16:creationId xmlns:a16="http://schemas.microsoft.com/office/drawing/2014/main" id="{2CCF5016-3F08-4A5C-A444-D2CE6C6D7E8A}"/>
              </a:ext>
            </a:extLst>
          </xdr:cNvPr>
          <xdr:cNvSpPr/>
        </xdr:nvSpPr>
        <xdr:spPr>
          <a:xfrm>
            <a:off x="1243014" y="64817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" name="Oval 83">
            <a:extLst>
              <a:ext uri="{FF2B5EF4-FFF2-40B4-BE49-F238E27FC236}">
                <a16:creationId xmlns:a16="http://schemas.microsoft.com/office/drawing/2014/main" id="{C6E54991-0371-458F-97BB-5A4954D7CD67}"/>
              </a:ext>
            </a:extLst>
          </xdr:cNvPr>
          <xdr:cNvSpPr/>
        </xdr:nvSpPr>
        <xdr:spPr>
          <a:xfrm>
            <a:off x="3186114" y="64865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1C7973A6-3861-496B-B9E6-66C92DDEDA7C}"/>
              </a:ext>
            </a:extLst>
          </xdr:cNvPr>
          <xdr:cNvCxnSpPr/>
        </xdr:nvCxnSpPr>
        <xdr:spPr>
          <a:xfrm>
            <a:off x="1133475" y="65912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9A84935A-0E2A-4293-9F1B-EE7B8D5B8A13}"/>
              </a:ext>
            </a:extLst>
          </xdr:cNvPr>
          <xdr:cNvSpPr/>
        </xdr:nvSpPr>
        <xdr:spPr>
          <a:xfrm>
            <a:off x="3081338" y="66008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1679ED6F-6C8C-4449-B137-F6529649D772}"/>
              </a:ext>
            </a:extLst>
          </xdr:cNvPr>
          <xdr:cNvCxnSpPr/>
        </xdr:nvCxnSpPr>
        <xdr:spPr>
          <a:xfrm>
            <a:off x="3076575" y="65960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0FC8FBD4-C63C-439F-B362-08AF142360BE}"/>
              </a:ext>
            </a:extLst>
          </xdr:cNvPr>
          <xdr:cNvCxnSpPr/>
        </xdr:nvCxnSpPr>
        <xdr:spPr>
          <a:xfrm>
            <a:off x="1938338" y="4624389"/>
            <a:ext cx="657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434DC0BC-B8CB-4729-8FA9-9A161F79A1D0}"/>
              </a:ext>
            </a:extLst>
          </xdr:cNvPr>
          <xdr:cNvCxnSpPr/>
        </xdr:nvCxnSpPr>
        <xdr:spPr>
          <a:xfrm>
            <a:off x="1943101" y="4629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7FEE76CA-A64A-4B3F-B466-419D15184FA7}"/>
              </a:ext>
            </a:extLst>
          </xdr:cNvPr>
          <xdr:cNvCxnSpPr/>
        </xdr:nvCxnSpPr>
        <xdr:spPr>
          <a:xfrm>
            <a:off x="2105026" y="4629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B5A64C65-2FE6-4752-8B24-497D6F99B562}"/>
              </a:ext>
            </a:extLst>
          </xdr:cNvPr>
          <xdr:cNvCxnSpPr/>
        </xdr:nvCxnSpPr>
        <xdr:spPr>
          <a:xfrm>
            <a:off x="2266952" y="4629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4076B837-F5F5-4EF0-9833-8845EC4D73BE}"/>
              </a:ext>
            </a:extLst>
          </xdr:cNvPr>
          <xdr:cNvCxnSpPr/>
        </xdr:nvCxnSpPr>
        <xdr:spPr>
          <a:xfrm>
            <a:off x="2428877" y="46291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3C2C2E53-89FF-4CFD-ACBB-89D6363ADCAA}"/>
              </a:ext>
            </a:extLst>
          </xdr:cNvPr>
          <xdr:cNvCxnSpPr/>
        </xdr:nvCxnSpPr>
        <xdr:spPr>
          <a:xfrm>
            <a:off x="2590800" y="46339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3174DBBB-6B7E-42AF-ACE3-12DC7F27CD02}"/>
              </a:ext>
            </a:extLst>
          </xdr:cNvPr>
          <xdr:cNvCxnSpPr/>
        </xdr:nvCxnSpPr>
        <xdr:spPr>
          <a:xfrm>
            <a:off x="561975" y="487680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8CF0FE00-A3B3-490A-8939-6CF2F6CFAD8E}"/>
              </a:ext>
            </a:extLst>
          </xdr:cNvPr>
          <xdr:cNvCxnSpPr/>
        </xdr:nvCxnSpPr>
        <xdr:spPr>
          <a:xfrm>
            <a:off x="647701" y="47958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6F0D6852-5F8E-4F16-A4E0-C6ACBFA7825F}"/>
              </a:ext>
            </a:extLst>
          </xdr:cNvPr>
          <xdr:cNvCxnSpPr/>
        </xdr:nvCxnSpPr>
        <xdr:spPr>
          <a:xfrm flipH="1">
            <a:off x="609600" y="48386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21F0B6A0-EAD7-4894-9D9A-3A16BA57C1D0}"/>
              </a:ext>
            </a:extLst>
          </xdr:cNvPr>
          <xdr:cNvCxnSpPr/>
        </xdr:nvCxnSpPr>
        <xdr:spPr>
          <a:xfrm>
            <a:off x="561976" y="65913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28F9A440-8804-4E4F-9D11-CD0CC5D4D0D9}"/>
              </a:ext>
            </a:extLst>
          </xdr:cNvPr>
          <xdr:cNvCxnSpPr/>
        </xdr:nvCxnSpPr>
        <xdr:spPr>
          <a:xfrm flipH="1">
            <a:off x="609601" y="65532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7F0035B8-8B92-47BC-A4FA-7E4C253FA674}"/>
              </a:ext>
            </a:extLst>
          </xdr:cNvPr>
          <xdr:cNvCxnSpPr/>
        </xdr:nvCxnSpPr>
        <xdr:spPr>
          <a:xfrm>
            <a:off x="1295400" y="7215188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A575630D-9D8B-40F3-89B2-E1BC69021640}"/>
              </a:ext>
            </a:extLst>
          </xdr:cNvPr>
          <xdr:cNvCxnSpPr/>
        </xdr:nvCxnSpPr>
        <xdr:spPr>
          <a:xfrm>
            <a:off x="1214439" y="77343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09F88BFB-65D2-48C1-A2C9-94CBED4AD4CA}"/>
              </a:ext>
            </a:extLst>
          </xdr:cNvPr>
          <xdr:cNvCxnSpPr/>
        </xdr:nvCxnSpPr>
        <xdr:spPr>
          <a:xfrm flipH="1">
            <a:off x="1257302" y="76962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7AC9F342-08D9-495A-B36C-0EA149CCDC51}"/>
              </a:ext>
            </a:extLst>
          </xdr:cNvPr>
          <xdr:cNvCxnSpPr/>
        </xdr:nvCxnSpPr>
        <xdr:spPr>
          <a:xfrm>
            <a:off x="3238503" y="7229475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4443EEF2-D795-42FF-B5EE-10373B1E5DBB}"/>
              </a:ext>
            </a:extLst>
          </xdr:cNvPr>
          <xdr:cNvCxnSpPr/>
        </xdr:nvCxnSpPr>
        <xdr:spPr>
          <a:xfrm flipH="1">
            <a:off x="3200405" y="76962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E0CE98D2-6E3D-4010-AAEB-030D705C2C7E}"/>
              </a:ext>
            </a:extLst>
          </xdr:cNvPr>
          <xdr:cNvCxnSpPr/>
        </xdr:nvCxnSpPr>
        <xdr:spPr>
          <a:xfrm flipV="1">
            <a:off x="1295400" y="67151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52ED94D0-43FE-43BD-B85C-D8E3CD464D59}"/>
              </a:ext>
            </a:extLst>
          </xdr:cNvPr>
          <xdr:cNvCxnSpPr/>
        </xdr:nvCxnSpPr>
        <xdr:spPr>
          <a:xfrm flipV="1">
            <a:off x="3238500" y="67151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C7FB70CF-FE7C-4860-AA0C-D6F5A2216F06}"/>
              </a:ext>
            </a:extLst>
          </xdr:cNvPr>
          <xdr:cNvCxnSpPr/>
        </xdr:nvCxnSpPr>
        <xdr:spPr>
          <a:xfrm>
            <a:off x="823913" y="65912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028F785A-5141-4201-8801-2961F1567E63}"/>
              </a:ext>
            </a:extLst>
          </xdr:cNvPr>
          <xdr:cNvCxnSpPr/>
        </xdr:nvCxnSpPr>
        <xdr:spPr>
          <a:xfrm flipH="1">
            <a:off x="3419474" y="65913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98B392E7-EFCD-4ACD-A293-ED4AA0FA3FF1}"/>
              </a:ext>
            </a:extLst>
          </xdr:cNvPr>
          <xdr:cNvCxnSpPr/>
        </xdr:nvCxnSpPr>
        <xdr:spPr>
          <a:xfrm>
            <a:off x="1214438" y="744855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AABD1C3-5062-4051-AFB2-F025F25531EC}"/>
              </a:ext>
            </a:extLst>
          </xdr:cNvPr>
          <xdr:cNvCxnSpPr/>
        </xdr:nvCxnSpPr>
        <xdr:spPr>
          <a:xfrm flipH="1">
            <a:off x="1257301" y="74104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BA1BBFE7-868D-4EE7-97CA-7F9612B0E0CB}"/>
              </a:ext>
            </a:extLst>
          </xdr:cNvPr>
          <xdr:cNvCxnSpPr/>
        </xdr:nvCxnSpPr>
        <xdr:spPr>
          <a:xfrm flipH="1">
            <a:off x="3200404" y="74104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32D32E15-0513-CE69-BEC4-857375C477B2}"/>
              </a:ext>
            </a:extLst>
          </xdr:cNvPr>
          <xdr:cNvCxnSpPr/>
        </xdr:nvCxnSpPr>
        <xdr:spPr>
          <a:xfrm flipV="1">
            <a:off x="1943101" y="5086350"/>
            <a:ext cx="0" cy="2419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1931E6BB-294E-4B8D-A903-C52137373399}"/>
              </a:ext>
            </a:extLst>
          </xdr:cNvPr>
          <xdr:cNvCxnSpPr/>
        </xdr:nvCxnSpPr>
        <xdr:spPr>
          <a:xfrm flipH="1">
            <a:off x="1905002" y="741045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551B5221-F07E-464B-B5CB-469F59E8511D}"/>
              </a:ext>
            </a:extLst>
          </xdr:cNvPr>
          <xdr:cNvCxnSpPr/>
        </xdr:nvCxnSpPr>
        <xdr:spPr>
          <a:xfrm flipV="1">
            <a:off x="2590793" y="5100638"/>
            <a:ext cx="0" cy="2405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1D2D9E4A-FDA0-4787-BAEB-C7FE5B5F8BC5}"/>
              </a:ext>
            </a:extLst>
          </xdr:cNvPr>
          <xdr:cNvCxnSpPr/>
        </xdr:nvCxnSpPr>
        <xdr:spPr>
          <a:xfrm flipH="1">
            <a:off x="2552694" y="741045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55</xdr:row>
      <xdr:rowOff>33339</xdr:rowOff>
    </xdr:from>
    <xdr:to>
      <xdr:col>22</xdr:col>
      <xdr:colOff>4762</xdr:colOff>
      <xdr:row>77</xdr:row>
      <xdr:rowOff>66675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F281EB2A-A328-1C58-3CA5-B5B8CF72AC85}"/>
            </a:ext>
          </a:extLst>
        </xdr:cNvPr>
        <xdr:cNvGrpSpPr/>
      </xdr:nvGrpSpPr>
      <xdr:grpSpPr>
        <a:xfrm>
          <a:off x="400050" y="8339139"/>
          <a:ext cx="3167062" cy="3176586"/>
          <a:chOff x="561975" y="8339139"/>
          <a:chExt cx="3167062" cy="3176586"/>
        </a:xfrm>
      </xdr:grpSpPr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9B4A81B4-BB05-4193-AD58-7FC17B8239F9}"/>
              </a:ext>
            </a:extLst>
          </xdr:cNvPr>
          <xdr:cNvSpPr/>
        </xdr:nvSpPr>
        <xdr:spPr>
          <a:xfrm>
            <a:off x="1138238" y="103108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4" name="Freeform: Shape 133">
            <a:extLst>
              <a:ext uri="{FF2B5EF4-FFF2-40B4-BE49-F238E27FC236}">
                <a16:creationId xmlns:a16="http://schemas.microsoft.com/office/drawing/2014/main" id="{32C5744E-EC8E-4081-9007-4A9540C86A73}"/>
              </a:ext>
            </a:extLst>
          </xdr:cNvPr>
          <xdr:cNvSpPr/>
        </xdr:nvSpPr>
        <xdr:spPr>
          <a:xfrm>
            <a:off x="1295401" y="85915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5" name="Oval 134">
            <a:extLst>
              <a:ext uri="{FF2B5EF4-FFF2-40B4-BE49-F238E27FC236}">
                <a16:creationId xmlns:a16="http://schemas.microsoft.com/office/drawing/2014/main" id="{519652B7-9B93-4918-B0E4-6519ADA6B40F}"/>
              </a:ext>
            </a:extLst>
          </xdr:cNvPr>
          <xdr:cNvSpPr/>
        </xdr:nvSpPr>
        <xdr:spPr>
          <a:xfrm>
            <a:off x="1243014" y="101965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6" name="Oval 135">
            <a:extLst>
              <a:ext uri="{FF2B5EF4-FFF2-40B4-BE49-F238E27FC236}">
                <a16:creationId xmlns:a16="http://schemas.microsoft.com/office/drawing/2014/main" id="{9661F8D9-662C-4C66-AB19-F626708F4589}"/>
              </a:ext>
            </a:extLst>
          </xdr:cNvPr>
          <xdr:cNvSpPr/>
        </xdr:nvSpPr>
        <xdr:spPr>
          <a:xfrm>
            <a:off x="3186114" y="102012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E14337BA-0065-41C5-AAAF-33954C8508EC}"/>
              </a:ext>
            </a:extLst>
          </xdr:cNvPr>
          <xdr:cNvCxnSpPr/>
        </xdr:nvCxnSpPr>
        <xdr:spPr>
          <a:xfrm>
            <a:off x="1133475" y="103060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2769C2A7-2DEC-49DB-A8A5-DA448C9C3EB4}"/>
              </a:ext>
            </a:extLst>
          </xdr:cNvPr>
          <xdr:cNvSpPr/>
        </xdr:nvSpPr>
        <xdr:spPr>
          <a:xfrm>
            <a:off x="3081338" y="103155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B8CAFD2F-C591-46B2-93DD-C0F61730BA4F}"/>
              </a:ext>
            </a:extLst>
          </xdr:cNvPr>
          <xdr:cNvCxnSpPr/>
        </xdr:nvCxnSpPr>
        <xdr:spPr>
          <a:xfrm>
            <a:off x="3076575" y="103108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Arrow Connector 139">
            <a:extLst>
              <a:ext uri="{FF2B5EF4-FFF2-40B4-BE49-F238E27FC236}">
                <a16:creationId xmlns:a16="http://schemas.microsoft.com/office/drawing/2014/main" id="{D6C9215F-900F-4E02-93EA-3961B85E0809}"/>
              </a:ext>
            </a:extLst>
          </xdr:cNvPr>
          <xdr:cNvCxnSpPr/>
        </xdr:nvCxnSpPr>
        <xdr:spPr>
          <a:xfrm>
            <a:off x="1295401" y="834866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EBB16616-1D6A-4C0B-BF43-2BC1E46D6DD4}"/>
              </a:ext>
            </a:extLst>
          </xdr:cNvPr>
          <xdr:cNvCxnSpPr/>
        </xdr:nvCxnSpPr>
        <xdr:spPr>
          <a:xfrm>
            <a:off x="1290639" y="8339139"/>
            <a:ext cx="114299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>
            <a:extLst>
              <a:ext uri="{FF2B5EF4-FFF2-40B4-BE49-F238E27FC236}">
                <a16:creationId xmlns:a16="http://schemas.microsoft.com/office/drawing/2014/main" id="{9BD9A0DF-9582-4191-A1B9-6E1EEF48F2B0}"/>
              </a:ext>
            </a:extLst>
          </xdr:cNvPr>
          <xdr:cNvCxnSpPr/>
        </xdr:nvCxnSpPr>
        <xdr:spPr>
          <a:xfrm>
            <a:off x="1457326" y="834866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Arrow Connector 142">
            <a:extLst>
              <a:ext uri="{FF2B5EF4-FFF2-40B4-BE49-F238E27FC236}">
                <a16:creationId xmlns:a16="http://schemas.microsoft.com/office/drawing/2014/main" id="{C8820791-7F13-4754-AED9-73C40EFD17DA}"/>
              </a:ext>
            </a:extLst>
          </xdr:cNvPr>
          <xdr:cNvCxnSpPr/>
        </xdr:nvCxnSpPr>
        <xdr:spPr>
          <a:xfrm>
            <a:off x="1619252" y="834866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Arrow Connector 143">
            <a:extLst>
              <a:ext uri="{FF2B5EF4-FFF2-40B4-BE49-F238E27FC236}">
                <a16:creationId xmlns:a16="http://schemas.microsoft.com/office/drawing/2014/main" id="{FBB8AAEB-710E-4538-8BF6-C815AA315831}"/>
              </a:ext>
            </a:extLst>
          </xdr:cNvPr>
          <xdr:cNvCxnSpPr/>
        </xdr:nvCxnSpPr>
        <xdr:spPr>
          <a:xfrm>
            <a:off x="1781177" y="834866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F47FED2E-F98B-4113-B95A-D42543F758DA}"/>
              </a:ext>
            </a:extLst>
          </xdr:cNvPr>
          <xdr:cNvCxnSpPr/>
        </xdr:nvCxnSpPr>
        <xdr:spPr>
          <a:xfrm>
            <a:off x="1943101" y="834389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0458EFA4-3206-45F0-A826-4496A9693706}"/>
              </a:ext>
            </a:extLst>
          </xdr:cNvPr>
          <xdr:cNvCxnSpPr/>
        </xdr:nvCxnSpPr>
        <xdr:spPr>
          <a:xfrm>
            <a:off x="2105026" y="834389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63FBFBBD-E809-4484-B508-FF043672D92D}"/>
              </a:ext>
            </a:extLst>
          </xdr:cNvPr>
          <xdr:cNvCxnSpPr/>
        </xdr:nvCxnSpPr>
        <xdr:spPr>
          <a:xfrm>
            <a:off x="2266952" y="834389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F19C43C7-2117-4277-A57A-C0D4429BE26F}"/>
              </a:ext>
            </a:extLst>
          </xdr:cNvPr>
          <xdr:cNvCxnSpPr/>
        </xdr:nvCxnSpPr>
        <xdr:spPr>
          <a:xfrm>
            <a:off x="2428877" y="834389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21E06AD1-1D0C-406F-AF82-5F71AFD5BD3D}"/>
              </a:ext>
            </a:extLst>
          </xdr:cNvPr>
          <xdr:cNvCxnSpPr/>
        </xdr:nvCxnSpPr>
        <xdr:spPr>
          <a:xfrm>
            <a:off x="561975" y="859155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4A55D650-30A5-4FFE-9E09-6BCB3A669DCC}"/>
              </a:ext>
            </a:extLst>
          </xdr:cNvPr>
          <xdr:cNvCxnSpPr/>
        </xdr:nvCxnSpPr>
        <xdr:spPr>
          <a:xfrm>
            <a:off x="647701" y="851058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9D872CB6-8349-4216-8935-C25EED55E93B}"/>
              </a:ext>
            </a:extLst>
          </xdr:cNvPr>
          <xdr:cNvCxnSpPr/>
        </xdr:nvCxnSpPr>
        <xdr:spPr>
          <a:xfrm flipH="1">
            <a:off x="609600" y="85534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AFB9B8A8-7F04-4AB9-89F5-78840C863D32}"/>
              </a:ext>
            </a:extLst>
          </xdr:cNvPr>
          <xdr:cNvCxnSpPr/>
        </xdr:nvCxnSpPr>
        <xdr:spPr>
          <a:xfrm>
            <a:off x="561976" y="1030605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1B8A3764-9ACF-4D28-A485-D85FB902B254}"/>
              </a:ext>
            </a:extLst>
          </xdr:cNvPr>
          <xdr:cNvCxnSpPr/>
        </xdr:nvCxnSpPr>
        <xdr:spPr>
          <a:xfrm flipH="1">
            <a:off x="609601" y="102679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5BDABC04-6389-49E9-8E7F-2347D1C8E7EB}"/>
              </a:ext>
            </a:extLst>
          </xdr:cNvPr>
          <xdr:cNvCxnSpPr/>
        </xdr:nvCxnSpPr>
        <xdr:spPr>
          <a:xfrm>
            <a:off x="1295400" y="10929938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1AA825DF-8518-4870-A61B-ADFEA677459D}"/>
              </a:ext>
            </a:extLst>
          </xdr:cNvPr>
          <xdr:cNvCxnSpPr/>
        </xdr:nvCxnSpPr>
        <xdr:spPr>
          <a:xfrm>
            <a:off x="1214439" y="1144905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48BF2499-EA0C-4A23-892D-E4CDF87A78D8}"/>
              </a:ext>
            </a:extLst>
          </xdr:cNvPr>
          <xdr:cNvCxnSpPr/>
        </xdr:nvCxnSpPr>
        <xdr:spPr>
          <a:xfrm flipH="1">
            <a:off x="1257302" y="114109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0D5D1830-AAE6-4FF3-BDD6-B13AE9A9B95E}"/>
              </a:ext>
            </a:extLst>
          </xdr:cNvPr>
          <xdr:cNvCxnSpPr/>
        </xdr:nvCxnSpPr>
        <xdr:spPr>
          <a:xfrm>
            <a:off x="3238503" y="10944225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08457337-548C-4707-9890-9E97FAF86CA3}"/>
              </a:ext>
            </a:extLst>
          </xdr:cNvPr>
          <xdr:cNvCxnSpPr/>
        </xdr:nvCxnSpPr>
        <xdr:spPr>
          <a:xfrm flipH="1">
            <a:off x="3200405" y="114109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Arrow Connector 163">
            <a:extLst>
              <a:ext uri="{FF2B5EF4-FFF2-40B4-BE49-F238E27FC236}">
                <a16:creationId xmlns:a16="http://schemas.microsoft.com/office/drawing/2014/main" id="{FF6DB95B-BF0A-4601-83E2-725737132E05}"/>
              </a:ext>
            </a:extLst>
          </xdr:cNvPr>
          <xdr:cNvCxnSpPr/>
        </xdr:nvCxnSpPr>
        <xdr:spPr>
          <a:xfrm flipV="1">
            <a:off x="1295400" y="1042986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Arrow Connector 164">
            <a:extLst>
              <a:ext uri="{FF2B5EF4-FFF2-40B4-BE49-F238E27FC236}">
                <a16:creationId xmlns:a16="http://schemas.microsoft.com/office/drawing/2014/main" id="{1E8B9295-7834-49AD-AF00-4528A35118E9}"/>
              </a:ext>
            </a:extLst>
          </xdr:cNvPr>
          <xdr:cNvCxnSpPr/>
        </xdr:nvCxnSpPr>
        <xdr:spPr>
          <a:xfrm flipV="1">
            <a:off x="3238500" y="104298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Arrow Connector 165">
            <a:extLst>
              <a:ext uri="{FF2B5EF4-FFF2-40B4-BE49-F238E27FC236}">
                <a16:creationId xmlns:a16="http://schemas.microsoft.com/office/drawing/2014/main" id="{0CC96D2A-789A-4A02-8113-823184EFFBE8}"/>
              </a:ext>
            </a:extLst>
          </xdr:cNvPr>
          <xdr:cNvCxnSpPr/>
        </xdr:nvCxnSpPr>
        <xdr:spPr>
          <a:xfrm>
            <a:off x="823913" y="1030604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Arrow Connector 166">
            <a:extLst>
              <a:ext uri="{FF2B5EF4-FFF2-40B4-BE49-F238E27FC236}">
                <a16:creationId xmlns:a16="http://schemas.microsoft.com/office/drawing/2014/main" id="{4AEC1701-3D84-4521-AEFB-EA826B701BA6}"/>
              </a:ext>
            </a:extLst>
          </xdr:cNvPr>
          <xdr:cNvCxnSpPr/>
        </xdr:nvCxnSpPr>
        <xdr:spPr>
          <a:xfrm flipH="1">
            <a:off x="3419474" y="103060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FF00ABA3-662B-49F2-BC73-27DBE40A1EF3}"/>
              </a:ext>
            </a:extLst>
          </xdr:cNvPr>
          <xdr:cNvCxnSpPr/>
        </xdr:nvCxnSpPr>
        <xdr:spPr>
          <a:xfrm flipH="1">
            <a:off x="1257300" y="111252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2FE73E00-CC09-4B03-AC1A-4197D3F70551}"/>
              </a:ext>
            </a:extLst>
          </xdr:cNvPr>
          <xdr:cNvCxnSpPr/>
        </xdr:nvCxnSpPr>
        <xdr:spPr>
          <a:xfrm flipH="1">
            <a:off x="3200403" y="111252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0EB33D0B-F5BF-472A-942A-ACBE9D6AB40A}"/>
              </a:ext>
            </a:extLst>
          </xdr:cNvPr>
          <xdr:cNvCxnSpPr/>
        </xdr:nvCxnSpPr>
        <xdr:spPr>
          <a:xfrm flipV="1">
            <a:off x="2428882" y="8820150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DDE11305-BB77-44EA-91AA-0118973C90BF}"/>
              </a:ext>
            </a:extLst>
          </xdr:cNvPr>
          <xdr:cNvCxnSpPr/>
        </xdr:nvCxnSpPr>
        <xdr:spPr>
          <a:xfrm flipH="1">
            <a:off x="2390783" y="1112520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AFCFBBFF-D67E-4717-80EC-AF02AD4A0A5F}"/>
              </a:ext>
            </a:extLst>
          </xdr:cNvPr>
          <xdr:cNvCxnSpPr/>
        </xdr:nvCxnSpPr>
        <xdr:spPr>
          <a:xfrm>
            <a:off x="1223963" y="11163300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53</xdr:row>
      <xdr:rowOff>138113</xdr:rowOff>
    </xdr:from>
    <xdr:to>
      <xdr:col>41</xdr:col>
      <xdr:colOff>157163</xdr:colOff>
      <xdr:row>69</xdr:row>
      <xdr:rowOff>4763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B55E2887-CD03-F813-C9DF-0DD3D2A8214D}"/>
            </a:ext>
          </a:extLst>
        </xdr:cNvPr>
        <xdr:cNvGrpSpPr/>
      </xdr:nvGrpSpPr>
      <xdr:grpSpPr>
        <a:xfrm>
          <a:off x="3886200" y="8158163"/>
          <a:ext cx="2909888" cy="2152650"/>
          <a:chOff x="4048125" y="8158163"/>
          <a:chExt cx="2909888" cy="2152650"/>
        </a:xfrm>
      </xdr:grpSpPr>
      <xdr:sp macro="" textlink="">
        <xdr:nvSpPr>
          <xdr:cNvPr id="168" name="Freeform: Shape 167">
            <a:extLst>
              <a:ext uri="{FF2B5EF4-FFF2-40B4-BE49-F238E27FC236}">
                <a16:creationId xmlns:a16="http://schemas.microsoft.com/office/drawing/2014/main" id="{1A579AC7-0CF8-4D6A-AE49-71E9983C5F32}"/>
              </a:ext>
            </a:extLst>
          </xdr:cNvPr>
          <xdr:cNvSpPr/>
        </xdr:nvSpPr>
        <xdr:spPr>
          <a:xfrm>
            <a:off x="4533897" y="85915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9" name="Straight Connector 168">
            <a:extLst>
              <a:ext uri="{FF2B5EF4-FFF2-40B4-BE49-F238E27FC236}">
                <a16:creationId xmlns:a16="http://schemas.microsoft.com/office/drawing/2014/main" id="{DD3DFE89-7622-4CB7-AC5C-43068D6371F5}"/>
              </a:ext>
            </a:extLst>
          </xdr:cNvPr>
          <xdr:cNvCxnSpPr/>
        </xdr:nvCxnSpPr>
        <xdr:spPr>
          <a:xfrm flipV="1">
            <a:off x="4533901" y="8158163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Connector 169">
            <a:extLst>
              <a:ext uri="{FF2B5EF4-FFF2-40B4-BE49-F238E27FC236}">
                <a16:creationId xmlns:a16="http://schemas.microsoft.com/office/drawing/2014/main" id="{E5FD23F6-807E-48A5-AA05-8F600D823A64}"/>
              </a:ext>
            </a:extLst>
          </xdr:cNvPr>
          <xdr:cNvCxnSpPr/>
        </xdr:nvCxnSpPr>
        <xdr:spPr>
          <a:xfrm flipV="1">
            <a:off x="6477001" y="8172450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1" name="Freeform: Shape 170">
            <a:extLst>
              <a:ext uri="{FF2B5EF4-FFF2-40B4-BE49-F238E27FC236}">
                <a16:creationId xmlns:a16="http://schemas.microsoft.com/office/drawing/2014/main" id="{1C1E7C1D-447C-4D10-814F-52457713F771}"/>
              </a:ext>
            </a:extLst>
          </xdr:cNvPr>
          <xdr:cNvSpPr/>
        </xdr:nvSpPr>
        <xdr:spPr>
          <a:xfrm>
            <a:off x="4533900" y="8162925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2" name="Freeform: Shape 171">
            <a:extLst>
              <a:ext uri="{FF2B5EF4-FFF2-40B4-BE49-F238E27FC236}">
                <a16:creationId xmlns:a16="http://schemas.microsoft.com/office/drawing/2014/main" id="{699FDF52-0E7C-4D14-A246-0F74E97CC1CB}"/>
              </a:ext>
            </a:extLst>
          </xdr:cNvPr>
          <xdr:cNvSpPr/>
        </xdr:nvSpPr>
        <xdr:spPr>
          <a:xfrm>
            <a:off x="4048125" y="8591550"/>
            <a:ext cx="490538" cy="1719263"/>
          </a:xfrm>
          <a:custGeom>
            <a:avLst/>
            <a:gdLst>
              <a:gd name="connsiteX0" fmla="*/ 485775 w 490538"/>
              <a:gd name="connsiteY0" fmla="*/ 1719263 h 1719263"/>
              <a:gd name="connsiteX1" fmla="*/ 0 w 490538"/>
              <a:gd name="connsiteY1" fmla="*/ 0 h 1719263"/>
              <a:gd name="connsiteX2" fmla="*/ 490538 w 490538"/>
              <a:gd name="connsiteY2" fmla="*/ 0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8" h="1719263">
                <a:moveTo>
                  <a:pt x="485775" y="1719263"/>
                </a:moveTo>
                <a:lnTo>
                  <a:pt x="0" y="0"/>
                </a:lnTo>
                <a:lnTo>
                  <a:pt x="490538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3" name="Freeform: Shape 172">
            <a:extLst>
              <a:ext uri="{FF2B5EF4-FFF2-40B4-BE49-F238E27FC236}">
                <a16:creationId xmlns:a16="http://schemas.microsoft.com/office/drawing/2014/main" id="{C4B5EBE2-6A76-4326-8F10-F212B3F7F3C1}"/>
              </a:ext>
            </a:extLst>
          </xdr:cNvPr>
          <xdr:cNvSpPr/>
        </xdr:nvSpPr>
        <xdr:spPr>
          <a:xfrm>
            <a:off x="6472238" y="8591550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6F8F3ACC-D79A-438B-A22B-B72BF049231C}"/>
              </a:ext>
            </a:extLst>
          </xdr:cNvPr>
          <xdr:cNvCxnSpPr/>
        </xdr:nvCxnSpPr>
        <xdr:spPr>
          <a:xfrm flipV="1">
            <a:off x="5505450" y="8596313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0D417D8F-6075-9A0A-1DD4-CE136F663801}"/>
              </a:ext>
            </a:extLst>
          </xdr:cNvPr>
          <xdr:cNvCxnSpPr/>
        </xdr:nvCxnSpPr>
        <xdr:spPr>
          <a:xfrm>
            <a:off x="4462466" y="9448800"/>
            <a:ext cx="11144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33415B7E-1CEF-19AA-78E2-9A133CB1684D}"/>
              </a:ext>
            </a:extLst>
          </xdr:cNvPr>
          <xdr:cNvCxnSpPr/>
        </xdr:nvCxnSpPr>
        <xdr:spPr>
          <a:xfrm flipH="1">
            <a:off x="4500564" y="941069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1B99E073-BDFC-BDE8-F05D-42AD9EB84CF8}"/>
              </a:ext>
            </a:extLst>
          </xdr:cNvPr>
          <xdr:cNvCxnSpPr/>
        </xdr:nvCxnSpPr>
        <xdr:spPr>
          <a:xfrm>
            <a:off x="5505450" y="921543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685B07F1-B6B4-5165-0862-616EF2718A49}"/>
              </a:ext>
            </a:extLst>
          </xdr:cNvPr>
          <xdr:cNvCxnSpPr/>
        </xdr:nvCxnSpPr>
        <xdr:spPr>
          <a:xfrm flipH="1">
            <a:off x="5467350" y="94106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80</xdr:row>
      <xdr:rowOff>4763</xdr:rowOff>
    </xdr:from>
    <xdr:to>
      <xdr:col>22</xdr:col>
      <xdr:colOff>4762</xdr:colOff>
      <xdr:row>102</xdr:row>
      <xdr:rowOff>66675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22EE4423-ACD0-A1DD-9D43-0972B8314BBD}"/>
            </a:ext>
          </a:extLst>
        </xdr:cNvPr>
        <xdr:cNvGrpSpPr/>
      </xdr:nvGrpSpPr>
      <xdr:grpSpPr>
        <a:xfrm>
          <a:off x="400050" y="11882438"/>
          <a:ext cx="3167062" cy="3205162"/>
          <a:chOff x="561975" y="11882438"/>
          <a:chExt cx="3167062" cy="3205162"/>
        </a:xfrm>
      </xdr:grpSpPr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FB9AD184-46AC-4A57-8A2B-4EB7F74524B5}"/>
              </a:ext>
            </a:extLst>
          </xdr:cNvPr>
          <xdr:cNvCxnSpPr/>
        </xdr:nvCxnSpPr>
        <xdr:spPr>
          <a:xfrm>
            <a:off x="1223962" y="14735174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28F6F439-A079-4DD2-8887-D0A903EB7377}"/>
              </a:ext>
            </a:extLst>
          </xdr:cNvPr>
          <xdr:cNvSpPr/>
        </xdr:nvSpPr>
        <xdr:spPr>
          <a:xfrm>
            <a:off x="1138238" y="138826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7" name="Freeform: Shape 196">
            <a:extLst>
              <a:ext uri="{FF2B5EF4-FFF2-40B4-BE49-F238E27FC236}">
                <a16:creationId xmlns:a16="http://schemas.microsoft.com/office/drawing/2014/main" id="{CE3E3E1F-6DDB-43EA-8E97-60278CE79C2D}"/>
              </a:ext>
            </a:extLst>
          </xdr:cNvPr>
          <xdr:cNvSpPr/>
        </xdr:nvSpPr>
        <xdr:spPr>
          <a:xfrm>
            <a:off x="1295401" y="121634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" name="Oval 197">
            <a:extLst>
              <a:ext uri="{FF2B5EF4-FFF2-40B4-BE49-F238E27FC236}">
                <a16:creationId xmlns:a16="http://schemas.microsoft.com/office/drawing/2014/main" id="{1F32C81B-7328-48E1-A8B3-AC27BF858E37}"/>
              </a:ext>
            </a:extLst>
          </xdr:cNvPr>
          <xdr:cNvSpPr/>
        </xdr:nvSpPr>
        <xdr:spPr>
          <a:xfrm>
            <a:off x="1243014" y="137683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9" name="Oval 198">
            <a:extLst>
              <a:ext uri="{FF2B5EF4-FFF2-40B4-BE49-F238E27FC236}">
                <a16:creationId xmlns:a16="http://schemas.microsoft.com/office/drawing/2014/main" id="{9C333E54-D832-4F41-A913-CD1503272AC5}"/>
              </a:ext>
            </a:extLst>
          </xdr:cNvPr>
          <xdr:cNvSpPr/>
        </xdr:nvSpPr>
        <xdr:spPr>
          <a:xfrm>
            <a:off x="3186114" y="1377314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01DCE4B8-D7E8-4BA3-9945-042F87114727}"/>
              </a:ext>
            </a:extLst>
          </xdr:cNvPr>
          <xdr:cNvCxnSpPr/>
        </xdr:nvCxnSpPr>
        <xdr:spPr>
          <a:xfrm>
            <a:off x="1133475" y="138779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34010E46-433C-47C1-8FC7-EA38B18E22CA}"/>
              </a:ext>
            </a:extLst>
          </xdr:cNvPr>
          <xdr:cNvSpPr/>
        </xdr:nvSpPr>
        <xdr:spPr>
          <a:xfrm>
            <a:off x="3081338" y="138874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3EF0BEE9-F5F3-463A-A7AF-481FF0496104}"/>
              </a:ext>
            </a:extLst>
          </xdr:cNvPr>
          <xdr:cNvCxnSpPr/>
        </xdr:nvCxnSpPr>
        <xdr:spPr>
          <a:xfrm>
            <a:off x="3076575" y="138826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4B442AC1-7233-499F-AA78-EEF5AF85E6F8}"/>
              </a:ext>
            </a:extLst>
          </xdr:cNvPr>
          <xdr:cNvCxnSpPr/>
        </xdr:nvCxnSpPr>
        <xdr:spPr>
          <a:xfrm>
            <a:off x="561975" y="1216342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2752F9E0-2FE7-4997-9C9E-FEF0B37F410D}"/>
              </a:ext>
            </a:extLst>
          </xdr:cNvPr>
          <xdr:cNvCxnSpPr/>
        </xdr:nvCxnSpPr>
        <xdr:spPr>
          <a:xfrm>
            <a:off x="647701" y="120824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3ECAC88F-148B-40B4-90B1-8D47E3324141}"/>
              </a:ext>
            </a:extLst>
          </xdr:cNvPr>
          <xdr:cNvCxnSpPr/>
        </xdr:nvCxnSpPr>
        <xdr:spPr>
          <a:xfrm flipH="1">
            <a:off x="609600" y="121253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5B4B97F0-2099-4F50-908D-AC6DE8F76C80}"/>
              </a:ext>
            </a:extLst>
          </xdr:cNvPr>
          <xdr:cNvCxnSpPr/>
        </xdr:nvCxnSpPr>
        <xdr:spPr>
          <a:xfrm>
            <a:off x="561976" y="138779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B4AA1A34-EC11-4433-AB1D-533D129CB7B5}"/>
              </a:ext>
            </a:extLst>
          </xdr:cNvPr>
          <xdr:cNvCxnSpPr/>
        </xdr:nvCxnSpPr>
        <xdr:spPr>
          <a:xfrm flipH="1">
            <a:off x="609601" y="138398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4E9F8B6A-47C2-467C-9199-00EACC8B7933}"/>
              </a:ext>
            </a:extLst>
          </xdr:cNvPr>
          <xdr:cNvCxnSpPr/>
        </xdr:nvCxnSpPr>
        <xdr:spPr>
          <a:xfrm>
            <a:off x="1295400" y="14501813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8F0339F6-F2D9-4480-8FDE-515B9C6944E4}"/>
              </a:ext>
            </a:extLst>
          </xdr:cNvPr>
          <xdr:cNvCxnSpPr/>
        </xdr:nvCxnSpPr>
        <xdr:spPr>
          <a:xfrm>
            <a:off x="1214439" y="150209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8748BA2A-E683-42E1-B248-40821BDBF10B}"/>
              </a:ext>
            </a:extLst>
          </xdr:cNvPr>
          <xdr:cNvCxnSpPr/>
        </xdr:nvCxnSpPr>
        <xdr:spPr>
          <a:xfrm flipH="1">
            <a:off x="1257302" y="149828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A0A627D3-CDA4-4AA5-A663-241606A8B811}"/>
              </a:ext>
            </a:extLst>
          </xdr:cNvPr>
          <xdr:cNvCxnSpPr/>
        </xdr:nvCxnSpPr>
        <xdr:spPr>
          <a:xfrm>
            <a:off x="3238503" y="14516100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522A110A-A25C-44E2-A43E-81D80717C44A}"/>
              </a:ext>
            </a:extLst>
          </xdr:cNvPr>
          <xdr:cNvCxnSpPr/>
        </xdr:nvCxnSpPr>
        <xdr:spPr>
          <a:xfrm flipH="1">
            <a:off x="3200405" y="149828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E556DA77-2212-45CA-B1C0-60BA68B343A8}"/>
              </a:ext>
            </a:extLst>
          </xdr:cNvPr>
          <xdr:cNvCxnSpPr/>
        </xdr:nvCxnSpPr>
        <xdr:spPr>
          <a:xfrm flipV="1">
            <a:off x="1295400" y="140017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FB529D0D-3FDD-4CD2-B0A6-0AF902759EBA}"/>
              </a:ext>
            </a:extLst>
          </xdr:cNvPr>
          <xdr:cNvCxnSpPr/>
        </xdr:nvCxnSpPr>
        <xdr:spPr>
          <a:xfrm flipV="1">
            <a:off x="3238500" y="140017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>
            <a:extLst>
              <a:ext uri="{FF2B5EF4-FFF2-40B4-BE49-F238E27FC236}">
                <a16:creationId xmlns:a16="http://schemas.microsoft.com/office/drawing/2014/main" id="{4B232146-EA45-4D5B-8AFF-A80060C17764}"/>
              </a:ext>
            </a:extLst>
          </xdr:cNvPr>
          <xdr:cNvCxnSpPr/>
        </xdr:nvCxnSpPr>
        <xdr:spPr>
          <a:xfrm>
            <a:off x="823913" y="138779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Arrow Connector 229">
            <a:extLst>
              <a:ext uri="{FF2B5EF4-FFF2-40B4-BE49-F238E27FC236}">
                <a16:creationId xmlns:a16="http://schemas.microsoft.com/office/drawing/2014/main" id="{6C1B52A9-66CA-4613-A941-578AE2F33EFB}"/>
              </a:ext>
            </a:extLst>
          </xdr:cNvPr>
          <xdr:cNvCxnSpPr/>
        </xdr:nvCxnSpPr>
        <xdr:spPr>
          <a:xfrm flipH="1">
            <a:off x="3419474" y="138779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Arrow Connector 238">
            <a:extLst>
              <a:ext uri="{FF2B5EF4-FFF2-40B4-BE49-F238E27FC236}">
                <a16:creationId xmlns:a16="http://schemas.microsoft.com/office/drawing/2014/main" id="{3BBAEFFC-9E91-33E8-394D-E235DF98BEAB}"/>
              </a:ext>
            </a:extLst>
          </xdr:cNvPr>
          <xdr:cNvCxnSpPr/>
        </xdr:nvCxnSpPr>
        <xdr:spPr>
          <a:xfrm>
            <a:off x="1943100" y="11882438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5143DA8E-D122-4190-B8F0-581D03EC26D4}"/>
              </a:ext>
            </a:extLst>
          </xdr:cNvPr>
          <xdr:cNvCxnSpPr/>
        </xdr:nvCxnSpPr>
        <xdr:spPr>
          <a:xfrm flipH="1">
            <a:off x="1257299" y="146970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B32076DB-8E5A-40D6-AA10-8F40F30CBBC6}"/>
              </a:ext>
            </a:extLst>
          </xdr:cNvPr>
          <xdr:cNvCxnSpPr/>
        </xdr:nvCxnSpPr>
        <xdr:spPr>
          <a:xfrm flipH="1">
            <a:off x="3200402" y="146970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1924D0F0-5974-43A0-811C-6CCF7287404F}"/>
              </a:ext>
            </a:extLst>
          </xdr:cNvPr>
          <xdr:cNvCxnSpPr/>
        </xdr:nvCxnSpPr>
        <xdr:spPr>
          <a:xfrm flipV="1">
            <a:off x="1943096" y="12392024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FB218EA5-AE0B-4DE6-8072-948522C7C918}"/>
              </a:ext>
            </a:extLst>
          </xdr:cNvPr>
          <xdr:cNvCxnSpPr/>
        </xdr:nvCxnSpPr>
        <xdr:spPr>
          <a:xfrm flipH="1">
            <a:off x="1904997" y="146970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79</xdr:row>
      <xdr:rowOff>0</xdr:rowOff>
    </xdr:from>
    <xdr:to>
      <xdr:col>41</xdr:col>
      <xdr:colOff>157163</xdr:colOff>
      <xdr:row>94</xdr:row>
      <xdr:rowOff>4763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9FDAF6FE-B312-8B31-439F-073881AA68E2}"/>
            </a:ext>
          </a:extLst>
        </xdr:cNvPr>
        <xdr:cNvGrpSpPr/>
      </xdr:nvGrpSpPr>
      <xdr:grpSpPr>
        <a:xfrm>
          <a:off x="3886200" y="11734800"/>
          <a:ext cx="2909888" cy="2147888"/>
          <a:chOff x="4048125" y="11734800"/>
          <a:chExt cx="2909888" cy="2147888"/>
        </a:xfrm>
      </xdr:grpSpPr>
      <xdr:sp macro="" textlink="">
        <xdr:nvSpPr>
          <xdr:cNvPr id="231" name="Freeform: Shape 230">
            <a:extLst>
              <a:ext uri="{FF2B5EF4-FFF2-40B4-BE49-F238E27FC236}">
                <a16:creationId xmlns:a16="http://schemas.microsoft.com/office/drawing/2014/main" id="{98CB459E-6D75-4B2F-B261-CF902493D15F}"/>
              </a:ext>
            </a:extLst>
          </xdr:cNvPr>
          <xdr:cNvSpPr/>
        </xdr:nvSpPr>
        <xdr:spPr>
          <a:xfrm>
            <a:off x="4533897" y="121634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5" name="Freeform: Shape 234">
            <a:extLst>
              <a:ext uri="{FF2B5EF4-FFF2-40B4-BE49-F238E27FC236}">
                <a16:creationId xmlns:a16="http://schemas.microsoft.com/office/drawing/2014/main" id="{B7FE9EFC-9A5F-4BE8-BEDD-4F392B95CBBB}"/>
              </a:ext>
            </a:extLst>
          </xdr:cNvPr>
          <xdr:cNvSpPr/>
        </xdr:nvSpPr>
        <xdr:spPr>
          <a:xfrm>
            <a:off x="4048125" y="12163425"/>
            <a:ext cx="490538" cy="1719263"/>
          </a:xfrm>
          <a:custGeom>
            <a:avLst/>
            <a:gdLst>
              <a:gd name="connsiteX0" fmla="*/ 485775 w 490538"/>
              <a:gd name="connsiteY0" fmla="*/ 1719263 h 1719263"/>
              <a:gd name="connsiteX1" fmla="*/ 0 w 490538"/>
              <a:gd name="connsiteY1" fmla="*/ 0 h 1719263"/>
              <a:gd name="connsiteX2" fmla="*/ 490538 w 490538"/>
              <a:gd name="connsiteY2" fmla="*/ 0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8" h="1719263">
                <a:moveTo>
                  <a:pt x="485775" y="1719263"/>
                </a:moveTo>
                <a:lnTo>
                  <a:pt x="0" y="0"/>
                </a:lnTo>
                <a:lnTo>
                  <a:pt x="490538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6" name="Freeform: Shape 235">
            <a:extLst>
              <a:ext uri="{FF2B5EF4-FFF2-40B4-BE49-F238E27FC236}">
                <a16:creationId xmlns:a16="http://schemas.microsoft.com/office/drawing/2014/main" id="{16A0674B-F8B0-4C3D-B12A-FCC70260F1E1}"/>
              </a:ext>
            </a:extLst>
          </xdr:cNvPr>
          <xdr:cNvSpPr/>
        </xdr:nvSpPr>
        <xdr:spPr>
          <a:xfrm>
            <a:off x="6472238" y="12163425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6" name="Freeform: Shape 245">
            <a:extLst>
              <a:ext uri="{FF2B5EF4-FFF2-40B4-BE49-F238E27FC236}">
                <a16:creationId xmlns:a16="http://schemas.microsoft.com/office/drawing/2014/main" id="{54F1CCB6-0DA0-44AB-64F1-80740D951F8E}"/>
              </a:ext>
            </a:extLst>
          </xdr:cNvPr>
          <xdr:cNvSpPr/>
        </xdr:nvSpPr>
        <xdr:spPr>
          <a:xfrm>
            <a:off x="4533900" y="11734800"/>
            <a:ext cx="1943100" cy="857250"/>
          </a:xfrm>
          <a:custGeom>
            <a:avLst/>
            <a:gdLst>
              <a:gd name="connsiteX0" fmla="*/ 0 w 1943100"/>
              <a:gd name="connsiteY0" fmla="*/ 428625 h 857250"/>
              <a:gd name="connsiteX1" fmla="*/ 0 w 1943100"/>
              <a:gd name="connsiteY1" fmla="*/ 0 h 857250"/>
              <a:gd name="connsiteX2" fmla="*/ 647700 w 1943100"/>
              <a:gd name="connsiteY2" fmla="*/ 857250 h 857250"/>
              <a:gd name="connsiteX3" fmla="*/ 1943100 w 1943100"/>
              <a:gd name="connsiteY3" fmla="*/ 4763 h 857250"/>
              <a:gd name="connsiteX4" fmla="*/ 1943100 w 1943100"/>
              <a:gd name="connsiteY4" fmla="*/ 433388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43100" h="857250">
                <a:moveTo>
                  <a:pt x="0" y="428625"/>
                </a:moveTo>
                <a:lnTo>
                  <a:pt x="0" y="0"/>
                </a:lnTo>
                <a:lnTo>
                  <a:pt x="647700" y="857250"/>
                </a:lnTo>
                <a:lnTo>
                  <a:pt x="1943100" y="4763"/>
                </a:lnTo>
                <a:lnTo>
                  <a:pt x="1943100" y="4333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76200</xdr:colOff>
      <xdr:row>105</xdr:row>
      <xdr:rowOff>4763</xdr:rowOff>
    </xdr:from>
    <xdr:to>
      <xdr:col>22</xdr:col>
      <xdr:colOff>4762</xdr:colOff>
      <xdr:row>127</xdr:row>
      <xdr:rowOff>66675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BB751110-A658-BD9B-590C-5C913B29810E}"/>
            </a:ext>
          </a:extLst>
        </xdr:cNvPr>
        <xdr:cNvGrpSpPr/>
      </xdr:nvGrpSpPr>
      <xdr:grpSpPr>
        <a:xfrm>
          <a:off x="400050" y="15454313"/>
          <a:ext cx="3167062" cy="3205162"/>
          <a:chOff x="561975" y="15454313"/>
          <a:chExt cx="3167062" cy="3205162"/>
        </a:xfrm>
      </xdr:grpSpPr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A0E3BFB7-2FB6-45B8-9ED1-BC29661D4A0F}"/>
              </a:ext>
            </a:extLst>
          </xdr:cNvPr>
          <xdr:cNvCxnSpPr/>
        </xdr:nvCxnSpPr>
        <xdr:spPr>
          <a:xfrm>
            <a:off x="1223962" y="18307049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AB89569-34FE-479B-8B44-1A8F465D0174}"/>
              </a:ext>
            </a:extLst>
          </xdr:cNvPr>
          <xdr:cNvSpPr/>
        </xdr:nvSpPr>
        <xdr:spPr>
          <a:xfrm>
            <a:off x="1138238" y="174545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9" name="Freeform: Shape 248">
            <a:extLst>
              <a:ext uri="{FF2B5EF4-FFF2-40B4-BE49-F238E27FC236}">
                <a16:creationId xmlns:a16="http://schemas.microsoft.com/office/drawing/2014/main" id="{486A388E-E80E-4480-BAFA-6E9D5CED1AB7}"/>
              </a:ext>
            </a:extLst>
          </xdr:cNvPr>
          <xdr:cNvSpPr/>
        </xdr:nvSpPr>
        <xdr:spPr>
          <a:xfrm>
            <a:off x="1295401" y="157353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0" name="Oval 249">
            <a:extLst>
              <a:ext uri="{FF2B5EF4-FFF2-40B4-BE49-F238E27FC236}">
                <a16:creationId xmlns:a16="http://schemas.microsoft.com/office/drawing/2014/main" id="{0ED22C19-0B3B-4CA5-BBDE-AF6434542F81}"/>
              </a:ext>
            </a:extLst>
          </xdr:cNvPr>
          <xdr:cNvSpPr/>
        </xdr:nvSpPr>
        <xdr:spPr>
          <a:xfrm>
            <a:off x="1243014" y="173402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1" name="Oval 250">
            <a:extLst>
              <a:ext uri="{FF2B5EF4-FFF2-40B4-BE49-F238E27FC236}">
                <a16:creationId xmlns:a16="http://schemas.microsoft.com/office/drawing/2014/main" id="{99378737-E0C8-4BDC-B08B-19048BBBEC41}"/>
              </a:ext>
            </a:extLst>
          </xdr:cNvPr>
          <xdr:cNvSpPr/>
        </xdr:nvSpPr>
        <xdr:spPr>
          <a:xfrm>
            <a:off x="3186114" y="173450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6A198426-5B4C-4B68-AFB8-9216E9706AF4}"/>
              </a:ext>
            </a:extLst>
          </xdr:cNvPr>
          <xdr:cNvCxnSpPr/>
        </xdr:nvCxnSpPr>
        <xdr:spPr>
          <a:xfrm>
            <a:off x="1133475" y="174497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89CD0C3E-EBB3-49F8-A20F-34702F93EA3D}"/>
              </a:ext>
            </a:extLst>
          </xdr:cNvPr>
          <xdr:cNvSpPr/>
        </xdr:nvSpPr>
        <xdr:spPr>
          <a:xfrm>
            <a:off x="3081338" y="174593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A568928D-C005-47D0-8D99-EF550611AD02}"/>
              </a:ext>
            </a:extLst>
          </xdr:cNvPr>
          <xdr:cNvCxnSpPr/>
        </xdr:nvCxnSpPr>
        <xdr:spPr>
          <a:xfrm>
            <a:off x="3076575" y="174545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2C7E3948-BC67-41D0-BC1C-8FE58E9189A0}"/>
              </a:ext>
            </a:extLst>
          </xdr:cNvPr>
          <xdr:cNvCxnSpPr/>
        </xdr:nvCxnSpPr>
        <xdr:spPr>
          <a:xfrm>
            <a:off x="561975" y="1573530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C2D75741-36E7-4F9C-8DEF-05509014C18F}"/>
              </a:ext>
            </a:extLst>
          </xdr:cNvPr>
          <xdr:cNvCxnSpPr/>
        </xdr:nvCxnSpPr>
        <xdr:spPr>
          <a:xfrm>
            <a:off x="647701" y="156543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BC4AB086-0AA4-401F-A9DD-65E6FE4CB768}"/>
              </a:ext>
            </a:extLst>
          </xdr:cNvPr>
          <xdr:cNvCxnSpPr/>
        </xdr:nvCxnSpPr>
        <xdr:spPr>
          <a:xfrm flipH="1">
            <a:off x="609600" y="156971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15567889-FA6E-461F-ADE9-90A811C23887}"/>
              </a:ext>
            </a:extLst>
          </xdr:cNvPr>
          <xdr:cNvCxnSpPr/>
        </xdr:nvCxnSpPr>
        <xdr:spPr>
          <a:xfrm>
            <a:off x="561976" y="174498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AF636AB0-852B-4ACE-9AF7-AC3B5059B144}"/>
              </a:ext>
            </a:extLst>
          </xdr:cNvPr>
          <xdr:cNvCxnSpPr/>
        </xdr:nvCxnSpPr>
        <xdr:spPr>
          <a:xfrm flipH="1">
            <a:off x="609601" y="174117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4DDDEA56-B8E9-4BAD-AE80-39816DAC301F}"/>
              </a:ext>
            </a:extLst>
          </xdr:cNvPr>
          <xdr:cNvCxnSpPr/>
        </xdr:nvCxnSpPr>
        <xdr:spPr>
          <a:xfrm>
            <a:off x="1295400" y="18073688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6072C8FA-EDAE-48EA-B0EF-046EE62CF602}"/>
              </a:ext>
            </a:extLst>
          </xdr:cNvPr>
          <xdr:cNvCxnSpPr/>
        </xdr:nvCxnSpPr>
        <xdr:spPr>
          <a:xfrm>
            <a:off x="1214439" y="185928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9168EBC2-B425-41A9-A2BA-2791B8021DF9}"/>
              </a:ext>
            </a:extLst>
          </xdr:cNvPr>
          <xdr:cNvCxnSpPr/>
        </xdr:nvCxnSpPr>
        <xdr:spPr>
          <a:xfrm flipH="1">
            <a:off x="1257302" y="185547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8F23EE14-7FED-4E03-88ED-D5656EA65E5D}"/>
              </a:ext>
            </a:extLst>
          </xdr:cNvPr>
          <xdr:cNvCxnSpPr/>
        </xdr:nvCxnSpPr>
        <xdr:spPr>
          <a:xfrm>
            <a:off x="3238503" y="18087975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7C6D3B39-8F7C-4210-A367-8B4BDD6E0537}"/>
              </a:ext>
            </a:extLst>
          </xdr:cNvPr>
          <xdr:cNvCxnSpPr/>
        </xdr:nvCxnSpPr>
        <xdr:spPr>
          <a:xfrm flipH="1">
            <a:off x="3200405" y="185547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Arrow Connector 264">
            <a:extLst>
              <a:ext uri="{FF2B5EF4-FFF2-40B4-BE49-F238E27FC236}">
                <a16:creationId xmlns:a16="http://schemas.microsoft.com/office/drawing/2014/main" id="{5F41D3E5-E4DD-4EF0-9B0A-2F13B5B96910}"/>
              </a:ext>
            </a:extLst>
          </xdr:cNvPr>
          <xdr:cNvCxnSpPr/>
        </xdr:nvCxnSpPr>
        <xdr:spPr>
          <a:xfrm flipV="1">
            <a:off x="1295400" y="175736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>
            <a:extLst>
              <a:ext uri="{FF2B5EF4-FFF2-40B4-BE49-F238E27FC236}">
                <a16:creationId xmlns:a16="http://schemas.microsoft.com/office/drawing/2014/main" id="{AD524C6F-253B-41B0-A30D-BD6097DC87F3}"/>
              </a:ext>
            </a:extLst>
          </xdr:cNvPr>
          <xdr:cNvCxnSpPr/>
        </xdr:nvCxnSpPr>
        <xdr:spPr>
          <a:xfrm flipV="1">
            <a:off x="3238500" y="175736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Arrow Connector 266">
            <a:extLst>
              <a:ext uri="{FF2B5EF4-FFF2-40B4-BE49-F238E27FC236}">
                <a16:creationId xmlns:a16="http://schemas.microsoft.com/office/drawing/2014/main" id="{4FAAD2F4-3A79-4505-BC41-528F55272D80}"/>
              </a:ext>
            </a:extLst>
          </xdr:cNvPr>
          <xdr:cNvCxnSpPr/>
        </xdr:nvCxnSpPr>
        <xdr:spPr>
          <a:xfrm>
            <a:off x="823913" y="174497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Arrow Connector 267">
            <a:extLst>
              <a:ext uri="{FF2B5EF4-FFF2-40B4-BE49-F238E27FC236}">
                <a16:creationId xmlns:a16="http://schemas.microsoft.com/office/drawing/2014/main" id="{7819BB02-59B2-44A8-B150-756D24A8A765}"/>
              </a:ext>
            </a:extLst>
          </xdr:cNvPr>
          <xdr:cNvCxnSpPr/>
        </xdr:nvCxnSpPr>
        <xdr:spPr>
          <a:xfrm flipH="1">
            <a:off x="3419474" y="174498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Arrow Connector 271">
            <a:extLst>
              <a:ext uri="{FF2B5EF4-FFF2-40B4-BE49-F238E27FC236}">
                <a16:creationId xmlns:a16="http://schemas.microsoft.com/office/drawing/2014/main" id="{CD3D75D8-46B6-40A3-BEE5-903F39D49ACE}"/>
              </a:ext>
            </a:extLst>
          </xdr:cNvPr>
          <xdr:cNvCxnSpPr/>
        </xdr:nvCxnSpPr>
        <xdr:spPr>
          <a:xfrm>
            <a:off x="1943100" y="15454313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239D6E79-A6EC-40FE-B5BE-760163EBE750}"/>
              </a:ext>
            </a:extLst>
          </xdr:cNvPr>
          <xdr:cNvCxnSpPr/>
        </xdr:nvCxnSpPr>
        <xdr:spPr>
          <a:xfrm flipH="1">
            <a:off x="1257299" y="182689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C5DDA441-0F67-405F-BEA8-83E06FED6A08}"/>
              </a:ext>
            </a:extLst>
          </xdr:cNvPr>
          <xdr:cNvCxnSpPr/>
        </xdr:nvCxnSpPr>
        <xdr:spPr>
          <a:xfrm flipH="1">
            <a:off x="3200402" y="182689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67BF8C2E-E7C0-4AB7-98B3-017FEFDB06D4}"/>
              </a:ext>
            </a:extLst>
          </xdr:cNvPr>
          <xdr:cNvCxnSpPr/>
        </xdr:nvCxnSpPr>
        <xdr:spPr>
          <a:xfrm flipV="1">
            <a:off x="1943096" y="15963899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658D59FE-26E7-416D-8501-A44CE96DDFDD}"/>
              </a:ext>
            </a:extLst>
          </xdr:cNvPr>
          <xdr:cNvCxnSpPr/>
        </xdr:nvCxnSpPr>
        <xdr:spPr>
          <a:xfrm flipH="1">
            <a:off x="1904997" y="182689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700CDB3F-6D36-4BEB-9D6F-35901C7D8E85}"/>
              </a:ext>
            </a:extLst>
          </xdr:cNvPr>
          <xdr:cNvCxnSpPr/>
        </xdr:nvCxnSpPr>
        <xdr:spPr>
          <a:xfrm flipV="1">
            <a:off x="2590799" y="15963901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65D91193-6DEC-4D07-8C78-598C53A5F0DD}"/>
              </a:ext>
            </a:extLst>
          </xdr:cNvPr>
          <xdr:cNvCxnSpPr/>
        </xdr:nvCxnSpPr>
        <xdr:spPr>
          <a:xfrm flipH="1">
            <a:off x="2552700" y="1826895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Arrow Connector 279">
            <a:extLst>
              <a:ext uri="{FF2B5EF4-FFF2-40B4-BE49-F238E27FC236}">
                <a16:creationId xmlns:a16="http://schemas.microsoft.com/office/drawing/2014/main" id="{B9599D61-5009-4AE7-8BE6-790210A1B7D5}"/>
              </a:ext>
            </a:extLst>
          </xdr:cNvPr>
          <xdr:cNvCxnSpPr/>
        </xdr:nvCxnSpPr>
        <xdr:spPr>
          <a:xfrm>
            <a:off x="2590800" y="15454313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104</xdr:row>
      <xdr:rowOff>0</xdr:rowOff>
    </xdr:from>
    <xdr:to>
      <xdr:col>41</xdr:col>
      <xdr:colOff>157163</xdr:colOff>
      <xdr:row>119</xdr:row>
      <xdr:rowOff>4763</xdr:rowOff>
    </xdr:to>
    <xdr:grpSp>
      <xdr:nvGrpSpPr>
        <xdr:cNvPr id="123" name="Group 122">
          <a:extLst>
            <a:ext uri="{FF2B5EF4-FFF2-40B4-BE49-F238E27FC236}">
              <a16:creationId xmlns:a16="http://schemas.microsoft.com/office/drawing/2014/main" id="{7235D6C9-AB9E-A9D9-0CDD-9E683E0D42E6}"/>
            </a:ext>
          </a:extLst>
        </xdr:cNvPr>
        <xdr:cNvGrpSpPr/>
      </xdr:nvGrpSpPr>
      <xdr:grpSpPr>
        <a:xfrm>
          <a:off x="3886200" y="15306675"/>
          <a:ext cx="2909888" cy="2147888"/>
          <a:chOff x="4048125" y="15306675"/>
          <a:chExt cx="2909888" cy="2147888"/>
        </a:xfrm>
      </xdr:grpSpPr>
      <xdr:sp macro="" textlink="">
        <xdr:nvSpPr>
          <xdr:cNvPr id="269" name="Freeform: Shape 268">
            <a:extLst>
              <a:ext uri="{FF2B5EF4-FFF2-40B4-BE49-F238E27FC236}">
                <a16:creationId xmlns:a16="http://schemas.microsoft.com/office/drawing/2014/main" id="{7E00FCBE-734E-4FF0-92A8-9AF48FF85CB2}"/>
              </a:ext>
            </a:extLst>
          </xdr:cNvPr>
          <xdr:cNvSpPr/>
        </xdr:nvSpPr>
        <xdr:spPr>
          <a:xfrm>
            <a:off x="4533897" y="157353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0" name="Freeform: Shape 269">
            <a:extLst>
              <a:ext uri="{FF2B5EF4-FFF2-40B4-BE49-F238E27FC236}">
                <a16:creationId xmlns:a16="http://schemas.microsoft.com/office/drawing/2014/main" id="{4976DA94-111A-407E-AD9F-5C3F57DCB609}"/>
              </a:ext>
            </a:extLst>
          </xdr:cNvPr>
          <xdr:cNvSpPr/>
        </xdr:nvSpPr>
        <xdr:spPr>
          <a:xfrm>
            <a:off x="4048125" y="15735300"/>
            <a:ext cx="490538" cy="1719263"/>
          </a:xfrm>
          <a:custGeom>
            <a:avLst/>
            <a:gdLst>
              <a:gd name="connsiteX0" fmla="*/ 485775 w 490538"/>
              <a:gd name="connsiteY0" fmla="*/ 1719263 h 1719263"/>
              <a:gd name="connsiteX1" fmla="*/ 0 w 490538"/>
              <a:gd name="connsiteY1" fmla="*/ 0 h 1719263"/>
              <a:gd name="connsiteX2" fmla="*/ 490538 w 490538"/>
              <a:gd name="connsiteY2" fmla="*/ 0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8" h="1719263">
                <a:moveTo>
                  <a:pt x="485775" y="1719263"/>
                </a:moveTo>
                <a:lnTo>
                  <a:pt x="0" y="0"/>
                </a:lnTo>
                <a:lnTo>
                  <a:pt x="490538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1" name="Freeform: Shape 270">
            <a:extLst>
              <a:ext uri="{FF2B5EF4-FFF2-40B4-BE49-F238E27FC236}">
                <a16:creationId xmlns:a16="http://schemas.microsoft.com/office/drawing/2014/main" id="{C77DFD6B-8CF9-4191-94AF-67D091CF902A}"/>
              </a:ext>
            </a:extLst>
          </xdr:cNvPr>
          <xdr:cNvSpPr/>
        </xdr:nvSpPr>
        <xdr:spPr>
          <a:xfrm>
            <a:off x="6472238" y="15735300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1" name="Freeform: Shape 280">
            <a:extLst>
              <a:ext uri="{FF2B5EF4-FFF2-40B4-BE49-F238E27FC236}">
                <a16:creationId xmlns:a16="http://schemas.microsoft.com/office/drawing/2014/main" id="{3CC0399E-0618-E853-8033-AD1617C1B6B6}"/>
              </a:ext>
            </a:extLst>
          </xdr:cNvPr>
          <xdr:cNvSpPr/>
        </xdr:nvSpPr>
        <xdr:spPr>
          <a:xfrm>
            <a:off x="4533900" y="15306675"/>
            <a:ext cx="1943100" cy="852488"/>
          </a:xfrm>
          <a:custGeom>
            <a:avLst/>
            <a:gdLst>
              <a:gd name="connsiteX0" fmla="*/ 0 w 1943100"/>
              <a:gd name="connsiteY0" fmla="*/ 423863 h 852488"/>
              <a:gd name="connsiteX1" fmla="*/ 0 w 1943100"/>
              <a:gd name="connsiteY1" fmla="*/ 0 h 852488"/>
              <a:gd name="connsiteX2" fmla="*/ 647700 w 1943100"/>
              <a:gd name="connsiteY2" fmla="*/ 852488 h 852488"/>
              <a:gd name="connsiteX3" fmla="*/ 1290638 w 1943100"/>
              <a:gd name="connsiteY3" fmla="*/ 852488 h 852488"/>
              <a:gd name="connsiteX4" fmla="*/ 1943100 w 1943100"/>
              <a:gd name="connsiteY4" fmla="*/ 4763 h 852488"/>
              <a:gd name="connsiteX5" fmla="*/ 1943100 w 1943100"/>
              <a:gd name="connsiteY5" fmla="*/ 433388 h 85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943100" h="852488">
                <a:moveTo>
                  <a:pt x="0" y="423863"/>
                </a:moveTo>
                <a:lnTo>
                  <a:pt x="0" y="0"/>
                </a:lnTo>
                <a:lnTo>
                  <a:pt x="647700" y="852488"/>
                </a:lnTo>
                <a:lnTo>
                  <a:pt x="1290638" y="852488"/>
                </a:lnTo>
                <a:lnTo>
                  <a:pt x="1943100" y="4763"/>
                </a:lnTo>
                <a:lnTo>
                  <a:pt x="1943100" y="4333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6</xdr:col>
      <xdr:colOff>4763</xdr:colOff>
      <xdr:row>144</xdr:row>
      <xdr:rowOff>4755</xdr:rowOff>
    </xdr:from>
    <xdr:to>
      <xdr:col>8</xdr:col>
      <xdr:colOff>0</xdr:colOff>
      <xdr:row>144</xdr:row>
      <xdr:rowOff>128582</xdr:rowOff>
    </xdr:to>
    <xdr:sp macro="" textlink="">
      <xdr:nvSpPr>
        <xdr:cNvPr id="282" name="Rectangle 281">
          <a:extLst>
            <a:ext uri="{FF2B5EF4-FFF2-40B4-BE49-F238E27FC236}">
              <a16:creationId xmlns:a16="http://schemas.microsoft.com/office/drawing/2014/main" id="{908B6E62-9776-4D55-AEED-C32B70990419}"/>
            </a:ext>
          </a:extLst>
        </xdr:cNvPr>
        <xdr:cNvSpPr/>
      </xdr:nvSpPr>
      <xdr:spPr>
        <a:xfrm>
          <a:off x="976313" y="21026430"/>
          <a:ext cx="319087" cy="123827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</xdr:colOff>
      <xdr:row>132</xdr:row>
      <xdr:rowOff>0</xdr:rowOff>
    </xdr:from>
    <xdr:to>
      <xdr:col>19</xdr:col>
      <xdr:colOff>1</xdr:colOff>
      <xdr:row>144</xdr:row>
      <xdr:rowOff>4763</xdr:rowOff>
    </xdr:to>
    <xdr:sp macro="" textlink="">
      <xdr:nvSpPr>
        <xdr:cNvPr id="283" name="Freeform: Shape 282">
          <a:extLst>
            <a:ext uri="{FF2B5EF4-FFF2-40B4-BE49-F238E27FC236}">
              <a16:creationId xmlns:a16="http://schemas.microsoft.com/office/drawing/2014/main" id="{764FD1C5-D203-4AEE-9FEC-4D3162ACD8A9}"/>
            </a:ext>
          </a:extLst>
        </xdr:cNvPr>
        <xdr:cNvSpPr/>
      </xdr:nvSpPr>
      <xdr:spPr>
        <a:xfrm>
          <a:off x="1133476" y="19307175"/>
          <a:ext cx="1943100" cy="1719263"/>
        </a:xfrm>
        <a:custGeom>
          <a:avLst/>
          <a:gdLst>
            <a:gd name="connsiteX0" fmla="*/ 0 w 1947863"/>
            <a:gd name="connsiteY0" fmla="*/ 1714500 h 1719263"/>
            <a:gd name="connsiteX1" fmla="*/ 0 w 1947863"/>
            <a:gd name="connsiteY1" fmla="*/ 0 h 1719263"/>
            <a:gd name="connsiteX2" fmla="*/ 1947863 w 1947863"/>
            <a:gd name="connsiteY2" fmla="*/ 0 h 1719263"/>
            <a:gd name="connsiteX3" fmla="*/ 1947863 w 1947863"/>
            <a:gd name="connsiteY3" fmla="*/ 1719263 h 17192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47863" h="1719263">
              <a:moveTo>
                <a:pt x="0" y="1714500"/>
              </a:moveTo>
              <a:lnTo>
                <a:pt x="0" y="0"/>
              </a:lnTo>
              <a:lnTo>
                <a:pt x="1947863" y="0"/>
              </a:lnTo>
              <a:lnTo>
                <a:pt x="1947863" y="1719263"/>
              </a:ln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109539</xdr:colOff>
      <xdr:row>143</xdr:row>
      <xdr:rowOff>33333</xdr:rowOff>
    </xdr:from>
    <xdr:to>
      <xdr:col>7</xdr:col>
      <xdr:colOff>52388</xdr:colOff>
      <xdr:row>143</xdr:row>
      <xdr:rowOff>138107</xdr:rowOff>
    </xdr:to>
    <xdr:sp macro="" textlink="">
      <xdr:nvSpPr>
        <xdr:cNvPr id="284" name="Oval 283">
          <a:extLst>
            <a:ext uri="{FF2B5EF4-FFF2-40B4-BE49-F238E27FC236}">
              <a16:creationId xmlns:a16="http://schemas.microsoft.com/office/drawing/2014/main" id="{A8BDF329-E04D-4689-AE98-2E3832F0BAF9}"/>
            </a:ext>
          </a:extLst>
        </xdr:cNvPr>
        <xdr:cNvSpPr/>
      </xdr:nvSpPr>
      <xdr:spPr>
        <a:xfrm>
          <a:off x="1081089" y="20912133"/>
          <a:ext cx="104774" cy="104774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109539</xdr:colOff>
      <xdr:row>143</xdr:row>
      <xdr:rowOff>38096</xdr:rowOff>
    </xdr:from>
    <xdr:to>
      <xdr:col>19</xdr:col>
      <xdr:colOff>52388</xdr:colOff>
      <xdr:row>143</xdr:row>
      <xdr:rowOff>142870</xdr:rowOff>
    </xdr:to>
    <xdr:sp macro="" textlink="">
      <xdr:nvSpPr>
        <xdr:cNvPr id="285" name="Oval 284">
          <a:extLst>
            <a:ext uri="{FF2B5EF4-FFF2-40B4-BE49-F238E27FC236}">
              <a16:creationId xmlns:a16="http://schemas.microsoft.com/office/drawing/2014/main" id="{0C3BBC99-A37F-41F0-80BC-0728E7176A09}"/>
            </a:ext>
          </a:extLst>
        </xdr:cNvPr>
        <xdr:cNvSpPr/>
      </xdr:nvSpPr>
      <xdr:spPr>
        <a:xfrm>
          <a:off x="3024189" y="20916896"/>
          <a:ext cx="104774" cy="104774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0</xdr:colOff>
      <xdr:row>143</xdr:row>
      <xdr:rowOff>142869</xdr:rowOff>
    </xdr:from>
    <xdr:to>
      <xdr:col>7</xdr:col>
      <xdr:colOff>157163</xdr:colOff>
      <xdr:row>143</xdr:row>
      <xdr:rowOff>142869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699E615-8A02-4679-B215-69E70B033B8F}"/>
            </a:ext>
          </a:extLst>
        </xdr:cNvPr>
        <xdr:cNvCxnSpPr/>
      </xdr:nvCxnSpPr>
      <xdr:spPr>
        <a:xfrm>
          <a:off x="971550" y="21021669"/>
          <a:ext cx="31908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4763</xdr:colOff>
      <xdr:row>144</xdr:row>
      <xdr:rowOff>9513</xdr:rowOff>
    </xdr:from>
    <xdr:to>
      <xdr:col>20</xdr:col>
      <xdr:colOff>0</xdr:colOff>
      <xdr:row>144</xdr:row>
      <xdr:rowOff>133340</xdr:rowOff>
    </xdr:to>
    <xdr:sp macro="" textlink="">
      <xdr:nvSpPr>
        <xdr:cNvPr id="287" name="Rectangle 286">
          <a:extLst>
            <a:ext uri="{FF2B5EF4-FFF2-40B4-BE49-F238E27FC236}">
              <a16:creationId xmlns:a16="http://schemas.microsoft.com/office/drawing/2014/main" id="{75A288DC-44B2-4F9F-8290-DE75C437C27C}"/>
            </a:ext>
          </a:extLst>
        </xdr:cNvPr>
        <xdr:cNvSpPr/>
      </xdr:nvSpPr>
      <xdr:spPr>
        <a:xfrm>
          <a:off x="2919413" y="21031188"/>
          <a:ext cx="319087" cy="123827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0</xdr:colOff>
      <xdr:row>144</xdr:row>
      <xdr:rowOff>4752</xdr:rowOff>
    </xdr:from>
    <xdr:to>
      <xdr:col>19</xdr:col>
      <xdr:colOff>157163</xdr:colOff>
      <xdr:row>144</xdr:row>
      <xdr:rowOff>4752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73581FB2-5EF6-4747-A9EE-8894ACBE18F7}"/>
            </a:ext>
          </a:extLst>
        </xdr:cNvPr>
        <xdr:cNvCxnSpPr/>
      </xdr:nvCxnSpPr>
      <xdr:spPr>
        <a:xfrm>
          <a:off x="2914650" y="21026427"/>
          <a:ext cx="31908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90486</xdr:colOff>
      <xdr:row>132</xdr:row>
      <xdr:rowOff>0</xdr:rowOff>
    </xdr:from>
    <xdr:to>
      <xdr:col>4</xdr:col>
      <xdr:colOff>109538</xdr:colOff>
      <xdr:row>132</xdr:row>
      <xdr:rowOff>0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824899A8-6CAB-4A5A-A52E-6EE981BEF004}"/>
            </a:ext>
          </a:extLst>
        </xdr:cNvPr>
        <xdr:cNvCxnSpPr/>
      </xdr:nvCxnSpPr>
      <xdr:spPr>
        <a:xfrm>
          <a:off x="414336" y="19307175"/>
          <a:ext cx="3429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131</xdr:row>
      <xdr:rowOff>61911</xdr:rowOff>
    </xdr:from>
    <xdr:to>
      <xdr:col>3</xdr:col>
      <xdr:colOff>1</xdr:colOff>
      <xdr:row>144</xdr:row>
      <xdr:rowOff>85725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9C4D59F2-15E1-4B17-BE12-32D09F1E66CF}"/>
            </a:ext>
          </a:extLst>
        </xdr:cNvPr>
        <xdr:cNvCxnSpPr/>
      </xdr:nvCxnSpPr>
      <xdr:spPr>
        <a:xfrm>
          <a:off x="485776" y="19226211"/>
          <a:ext cx="0" cy="1881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131</xdr:row>
      <xdr:rowOff>104774</xdr:rowOff>
    </xdr:from>
    <xdr:to>
      <xdr:col>3</xdr:col>
      <xdr:colOff>38100</xdr:colOff>
      <xdr:row>132</xdr:row>
      <xdr:rowOff>38099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640F3204-0DE8-4846-9568-860D47C0B24F}"/>
            </a:ext>
          </a:extLst>
        </xdr:cNvPr>
        <xdr:cNvCxnSpPr/>
      </xdr:nvCxnSpPr>
      <xdr:spPr>
        <a:xfrm flipH="1">
          <a:off x="447675" y="19269074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144</xdr:row>
      <xdr:rowOff>0</xdr:rowOff>
    </xdr:from>
    <xdr:to>
      <xdr:col>3</xdr:col>
      <xdr:colOff>138112</xdr:colOff>
      <xdr:row>144</xdr:row>
      <xdr:rowOff>0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C8838FE-57B5-48E0-8720-33929F8A078F}"/>
            </a:ext>
          </a:extLst>
        </xdr:cNvPr>
        <xdr:cNvCxnSpPr/>
      </xdr:nvCxnSpPr>
      <xdr:spPr>
        <a:xfrm>
          <a:off x="400050" y="21021675"/>
          <a:ext cx="22383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143</xdr:row>
      <xdr:rowOff>104768</xdr:rowOff>
    </xdr:from>
    <xdr:to>
      <xdr:col>3</xdr:col>
      <xdr:colOff>38100</xdr:colOff>
      <xdr:row>144</xdr:row>
      <xdr:rowOff>38093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C295C5ED-14E1-49DE-BD1E-8FF444A03AEC}"/>
            </a:ext>
          </a:extLst>
        </xdr:cNvPr>
        <xdr:cNvCxnSpPr/>
      </xdr:nvCxnSpPr>
      <xdr:spPr>
        <a:xfrm flipH="1">
          <a:off x="447675" y="20983568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148</xdr:row>
      <xdr:rowOff>52388</xdr:rowOff>
    </xdr:from>
    <xdr:to>
      <xdr:col>7</xdr:col>
      <xdr:colOff>0</xdr:colOff>
      <xdr:row>150</xdr:row>
      <xdr:rowOff>66675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F6E1912F-E382-48F6-B6C4-DB35761D6736}"/>
            </a:ext>
          </a:extLst>
        </xdr:cNvPr>
        <xdr:cNvCxnSpPr/>
      </xdr:nvCxnSpPr>
      <xdr:spPr>
        <a:xfrm>
          <a:off x="1133475" y="21645563"/>
          <a:ext cx="0" cy="3000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80964</xdr:colOff>
      <xdr:row>150</xdr:row>
      <xdr:rowOff>1</xdr:rowOff>
    </xdr:from>
    <xdr:to>
      <xdr:col>19</xdr:col>
      <xdr:colOff>66675</xdr:colOff>
      <xdr:row>150</xdr:row>
      <xdr:rowOff>1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EE8792FA-6805-4A33-B240-1FB74EDF8746}"/>
            </a:ext>
          </a:extLst>
        </xdr:cNvPr>
        <xdr:cNvCxnSpPr/>
      </xdr:nvCxnSpPr>
      <xdr:spPr>
        <a:xfrm>
          <a:off x="1052514" y="21878926"/>
          <a:ext cx="20907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123827</xdr:colOff>
      <xdr:row>149</xdr:row>
      <xdr:rowOff>104776</xdr:rowOff>
    </xdr:from>
    <xdr:to>
      <xdr:col>7</xdr:col>
      <xdr:colOff>38102</xdr:colOff>
      <xdr:row>150</xdr:row>
      <xdr:rowOff>38101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E8712EFE-5E3B-40A7-A3F7-B1F121C0D79A}"/>
            </a:ext>
          </a:extLst>
        </xdr:cNvPr>
        <xdr:cNvCxnSpPr/>
      </xdr:nvCxnSpPr>
      <xdr:spPr>
        <a:xfrm flipH="1">
          <a:off x="1095377" y="21840826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</xdr:colOff>
      <xdr:row>148</xdr:row>
      <xdr:rowOff>66675</xdr:rowOff>
    </xdr:from>
    <xdr:to>
      <xdr:col>19</xdr:col>
      <xdr:colOff>3</xdr:colOff>
      <xdr:row>150</xdr:row>
      <xdr:rowOff>66675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7161D766-5CC3-4875-BFBA-0A60BE44A491}"/>
            </a:ext>
          </a:extLst>
        </xdr:cNvPr>
        <xdr:cNvCxnSpPr/>
      </xdr:nvCxnSpPr>
      <xdr:spPr>
        <a:xfrm>
          <a:off x="3076578" y="21659850"/>
          <a:ext cx="0" cy="285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123830</xdr:colOff>
      <xdr:row>149</xdr:row>
      <xdr:rowOff>104776</xdr:rowOff>
    </xdr:from>
    <xdr:to>
      <xdr:col>19</xdr:col>
      <xdr:colOff>38105</xdr:colOff>
      <xdr:row>150</xdr:row>
      <xdr:rowOff>38101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5F672857-C239-497F-BDD1-34C8D9037A85}"/>
            </a:ext>
          </a:extLst>
        </xdr:cNvPr>
        <xdr:cNvCxnSpPr/>
      </xdr:nvCxnSpPr>
      <xdr:spPr>
        <a:xfrm flipH="1">
          <a:off x="3038480" y="21840826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144</xdr:row>
      <xdr:rowOff>123819</xdr:rowOff>
    </xdr:from>
    <xdr:to>
      <xdr:col>7</xdr:col>
      <xdr:colOff>0</xdr:colOff>
      <xdr:row>147</xdr:row>
      <xdr:rowOff>4763</xdr:rowOff>
    </xdr:to>
    <xdr:cxnSp macro="">
      <xdr:nvCxnSpPr>
        <xdr:cNvPr id="313" name="Straight Arrow Connector 312">
          <a:extLst>
            <a:ext uri="{FF2B5EF4-FFF2-40B4-BE49-F238E27FC236}">
              <a16:creationId xmlns:a16="http://schemas.microsoft.com/office/drawing/2014/main" id="{C539320E-BFB3-4791-B658-3694290D0B41}"/>
            </a:ext>
          </a:extLst>
        </xdr:cNvPr>
        <xdr:cNvCxnSpPr/>
      </xdr:nvCxnSpPr>
      <xdr:spPr>
        <a:xfrm flipV="1">
          <a:off x="1133475" y="21145494"/>
          <a:ext cx="0" cy="309569"/>
        </a:xfrm>
        <a:prstGeom prst="straightConnector1">
          <a:avLst/>
        </a:prstGeom>
        <a:ln w="15875"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144</xdr:row>
      <xdr:rowOff>123819</xdr:rowOff>
    </xdr:from>
    <xdr:to>
      <xdr:col>19</xdr:col>
      <xdr:colOff>0</xdr:colOff>
      <xdr:row>147</xdr:row>
      <xdr:rowOff>0</xdr:rowOff>
    </xdr:to>
    <xdr:cxnSp macro="">
      <xdr:nvCxnSpPr>
        <xdr:cNvPr id="314" name="Straight Arrow Connector 313">
          <a:extLst>
            <a:ext uri="{FF2B5EF4-FFF2-40B4-BE49-F238E27FC236}">
              <a16:creationId xmlns:a16="http://schemas.microsoft.com/office/drawing/2014/main" id="{6CC8EA78-CE7C-404F-93B2-9B103A73E036}"/>
            </a:ext>
          </a:extLst>
        </xdr:cNvPr>
        <xdr:cNvCxnSpPr/>
      </xdr:nvCxnSpPr>
      <xdr:spPr>
        <a:xfrm flipV="1">
          <a:off x="3076575" y="21145494"/>
          <a:ext cx="0" cy="304806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33338</xdr:colOff>
      <xdr:row>144</xdr:row>
      <xdr:rowOff>4755</xdr:rowOff>
    </xdr:from>
    <xdr:to>
      <xdr:col>10</xdr:col>
      <xdr:colOff>9525</xdr:colOff>
      <xdr:row>144</xdr:row>
      <xdr:rowOff>4755</xdr:rowOff>
    </xdr:to>
    <xdr:cxnSp macro="">
      <xdr:nvCxnSpPr>
        <xdr:cNvPr id="315" name="Straight Arrow Connector 314">
          <a:extLst>
            <a:ext uri="{FF2B5EF4-FFF2-40B4-BE49-F238E27FC236}">
              <a16:creationId xmlns:a16="http://schemas.microsoft.com/office/drawing/2014/main" id="{E76BC2A5-21B1-4FA5-A4B8-7A5B4D52F5BE}"/>
            </a:ext>
          </a:extLst>
        </xdr:cNvPr>
        <xdr:cNvCxnSpPr/>
      </xdr:nvCxnSpPr>
      <xdr:spPr>
        <a:xfrm>
          <a:off x="1328738" y="21026430"/>
          <a:ext cx="300037" cy="0"/>
        </a:xfrm>
        <a:prstGeom prst="straightConnector1">
          <a:avLst/>
        </a:prstGeom>
        <a:ln w="15875"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19049</xdr:colOff>
      <xdr:row>144</xdr:row>
      <xdr:rowOff>0</xdr:rowOff>
    </xdr:from>
    <xdr:to>
      <xdr:col>22</xdr:col>
      <xdr:colOff>4762</xdr:colOff>
      <xdr:row>144</xdr:row>
      <xdr:rowOff>0</xdr:rowOff>
    </xdr:to>
    <xdr:cxnSp macro="">
      <xdr:nvCxnSpPr>
        <xdr:cNvPr id="316" name="Straight Arrow Connector 315">
          <a:extLst>
            <a:ext uri="{FF2B5EF4-FFF2-40B4-BE49-F238E27FC236}">
              <a16:creationId xmlns:a16="http://schemas.microsoft.com/office/drawing/2014/main" id="{6BA6BA65-35AA-4115-8445-5688B68998F3}"/>
            </a:ext>
          </a:extLst>
        </xdr:cNvPr>
        <xdr:cNvCxnSpPr/>
      </xdr:nvCxnSpPr>
      <xdr:spPr>
        <a:xfrm flipH="1">
          <a:off x="3257549" y="21021675"/>
          <a:ext cx="309563" cy="0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42868</xdr:colOff>
      <xdr:row>132</xdr:row>
      <xdr:rowOff>1</xdr:rowOff>
    </xdr:from>
    <xdr:to>
      <xdr:col>6</xdr:col>
      <xdr:colOff>42868</xdr:colOff>
      <xdr:row>144</xdr:row>
      <xdr:rowOff>4763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2A4A0CCC-767C-0118-D2C6-CAFE36E4F0CE}"/>
            </a:ext>
          </a:extLst>
        </xdr:cNvPr>
        <xdr:cNvCxnSpPr/>
      </xdr:nvCxnSpPr>
      <xdr:spPr>
        <a:xfrm>
          <a:off x="1014418" y="19307176"/>
          <a:ext cx="0" cy="17192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4767</xdr:colOff>
      <xdr:row>132</xdr:row>
      <xdr:rowOff>1</xdr:rowOff>
    </xdr:from>
    <xdr:to>
      <xdr:col>6</xdr:col>
      <xdr:colOff>42868</xdr:colOff>
      <xdr:row>132</xdr:row>
      <xdr:rowOff>1</xdr:rowOff>
    </xdr:to>
    <xdr:cxnSp macro="">
      <xdr:nvCxnSpPr>
        <xdr:cNvPr id="328" name="Straight Arrow Connector 327">
          <a:extLst>
            <a:ext uri="{FF2B5EF4-FFF2-40B4-BE49-F238E27FC236}">
              <a16:creationId xmlns:a16="http://schemas.microsoft.com/office/drawing/2014/main" id="{6B722645-C6E3-25E0-A344-BC34BC699F9B}"/>
            </a:ext>
          </a:extLst>
        </xdr:cNvPr>
        <xdr:cNvCxnSpPr/>
      </xdr:nvCxnSpPr>
      <xdr:spPr>
        <a:xfrm>
          <a:off x="814392" y="19307176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</xdr:colOff>
      <xdr:row>133</xdr:row>
      <xdr:rowOff>1</xdr:rowOff>
    </xdr:from>
    <xdr:to>
      <xdr:col>6</xdr:col>
      <xdr:colOff>38105</xdr:colOff>
      <xdr:row>133</xdr:row>
      <xdr:rowOff>1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CA94454F-8DD5-4D01-9803-1B36D9BD1B98}"/>
            </a:ext>
          </a:extLst>
        </xdr:cNvPr>
        <xdr:cNvCxnSpPr/>
      </xdr:nvCxnSpPr>
      <xdr:spPr>
        <a:xfrm>
          <a:off x="809629" y="19450051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161923</xdr:colOff>
      <xdr:row>134</xdr:row>
      <xdr:rowOff>4</xdr:rowOff>
    </xdr:from>
    <xdr:to>
      <xdr:col>6</xdr:col>
      <xdr:colOff>38099</xdr:colOff>
      <xdr:row>134</xdr:row>
      <xdr:rowOff>4</xdr:rowOff>
    </xdr:to>
    <xdr:cxnSp macro="">
      <xdr:nvCxnSpPr>
        <xdr:cNvPr id="332" name="Straight Arrow Connector 331">
          <a:extLst>
            <a:ext uri="{FF2B5EF4-FFF2-40B4-BE49-F238E27FC236}">
              <a16:creationId xmlns:a16="http://schemas.microsoft.com/office/drawing/2014/main" id="{22DDE87A-4064-4FEE-B9E2-1D35653C95F0}"/>
            </a:ext>
          </a:extLst>
        </xdr:cNvPr>
        <xdr:cNvCxnSpPr/>
      </xdr:nvCxnSpPr>
      <xdr:spPr>
        <a:xfrm>
          <a:off x="809623" y="19592929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157160</xdr:colOff>
      <xdr:row>135</xdr:row>
      <xdr:rowOff>4</xdr:rowOff>
    </xdr:from>
    <xdr:to>
      <xdr:col>6</xdr:col>
      <xdr:colOff>33336</xdr:colOff>
      <xdr:row>135</xdr:row>
      <xdr:rowOff>4</xdr:rowOff>
    </xdr:to>
    <xdr:cxnSp macro="">
      <xdr:nvCxnSpPr>
        <xdr:cNvPr id="333" name="Straight Arrow Connector 332">
          <a:extLst>
            <a:ext uri="{FF2B5EF4-FFF2-40B4-BE49-F238E27FC236}">
              <a16:creationId xmlns:a16="http://schemas.microsoft.com/office/drawing/2014/main" id="{ABBCF3F0-8752-49A6-8916-7CBE82722F03}"/>
            </a:ext>
          </a:extLst>
        </xdr:cNvPr>
        <xdr:cNvCxnSpPr/>
      </xdr:nvCxnSpPr>
      <xdr:spPr>
        <a:xfrm>
          <a:off x="804860" y="19735804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</xdr:colOff>
      <xdr:row>136</xdr:row>
      <xdr:rowOff>8</xdr:rowOff>
    </xdr:from>
    <xdr:to>
      <xdr:col>6</xdr:col>
      <xdr:colOff>42863</xdr:colOff>
      <xdr:row>136</xdr:row>
      <xdr:rowOff>8</xdr:rowOff>
    </xdr:to>
    <xdr:cxnSp macro="">
      <xdr:nvCxnSpPr>
        <xdr:cNvPr id="334" name="Straight Arrow Connector 333">
          <a:extLst>
            <a:ext uri="{FF2B5EF4-FFF2-40B4-BE49-F238E27FC236}">
              <a16:creationId xmlns:a16="http://schemas.microsoft.com/office/drawing/2014/main" id="{00DE8D8B-8712-4C70-8058-7C9F43D0B2E3}"/>
            </a:ext>
          </a:extLst>
        </xdr:cNvPr>
        <xdr:cNvCxnSpPr/>
      </xdr:nvCxnSpPr>
      <xdr:spPr>
        <a:xfrm>
          <a:off x="814387" y="19878683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161924</xdr:colOff>
      <xdr:row>137</xdr:row>
      <xdr:rowOff>8</xdr:rowOff>
    </xdr:from>
    <xdr:to>
      <xdr:col>6</xdr:col>
      <xdr:colOff>38100</xdr:colOff>
      <xdr:row>137</xdr:row>
      <xdr:rowOff>8</xdr:rowOff>
    </xdr:to>
    <xdr:cxnSp macro="">
      <xdr:nvCxnSpPr>
        <xdr:cNvPr id="335" name="Straight Arrow Connector 334">
          <a:extLst>
            <a:ext uri="{FF2B5EF4-FFF2-40B4-BE49-F238E27FC236}">
              <a16:creationId xmlns:a16="http://schemas.microsoft.com/office/drawing/2014/main" id="{2B570516-351F-4164-91B7-34E6E2658A23}"/>
            </a:ext>
          </a:extLst>
        </xdr:cNvPr>
        <xdr:cNvCxnSpPr/>
      </xdr:nvCxnSpPr>
      <xdr:spPr>
        <a:xfrm>
          <a:off x="809624" y="20021558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161918</xdr:colOff>
      <xdr:row>138</xdr:row>
      <xdr:rowOff>11</xdr:rowOff>
    </xdr:from>
    <xdr:to>
      <xdr:col>6</xdr:col>
      <xdr:colOff>38094</xdr:colOff>
      <xdr:row>138</xdr:row>
      <xdr:rowOff>11</xdr:rowOff>
    </xdr:to>
    <xdr:cxnSp macro="">
      <xdr:nvCxnSpPr>
        <xdr:cNvPr id="336" name="Straight Arrow Connector 335">
          <a:extLst>
            <a:ext uri="{FF2B5EF4-FFF2-40B4-BE49-F238E27FC236}">
              <a16:creationId xmlns:a16="http://schemas.microsoft.com/office/drawing/2014/main" id="{DD50822E-59D1-47A7-969F-013C7EF4DE24}"/>
            </a:ext>
          </a:extLst>
        </xdr:cNvPr>
        <xdr:cNvCxnSpPr/>
      </xdr:nvCxnSpPr>
      <xdr:spPr>
        <a:xfrm>
          <a:off x="809618" y="20164436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157155</xdr:colOff>
      <xdr:row>139</xdr:row>
      <xdr:rowOff>11</xdr:rowOff>
    </xdr:from>
    <xdr:to>
      <xdr:col>6</xdr:col>
      <xdr:colOff>33331</xdr:colOff>
      <xdr:row>139</xdr:row>
      <xdr:rowOff>11</xdr:rowOff>
    </xdr:to>
    <xdr:cxnSp macro="">
      <xdr:nvCxnSpPr>
        <xdr:cNvPr id="337" name="Straight Arrow Connector 336">
          <a:extLst>
            <a:ext uri="{FF2B5EF4-FFF2-40B4-BE49-F238E27FC236}">
              <a16:creationId xmlns:a16="http://schemas.microsoft.com/office/drawing/2014/main" id="{5269778A-E628-409F-A652-55F2A5B798C9}"/>
            </a:ext>
          </a:extLst>
        </xdr:cNvPr>
        <xdr:cNvCxnSpPr/>
      </xdr:nvCxnSpPr>
      <xdr:spPr>
        <a:xfrm>
          <a:off x="804855" y="20307311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4754</xdr:colOff>
      <xdr:row>140</xdr:row>
      <xdr:rowOff>18</xdr:rowOff>
    </xdr:from>
    <xdr:to>
      <xdr:col>6</xdr:col>
      <xdr:colOff>42855</xdr:colOff>
      <xdr:row>140</xdr:row>
      <xdr:rowOff>18</xdr:rowOff>
    </xdr:to>
    <xdr:cxnSp macro="">
      <xdr:nvCxnSpPr>
        <xdr:cNvPr id="338" name="Straight Arrow Connector 337">
          <a:extLst>
            <a:ext uri="{FF2B5EF4-FFF2-40B4-BE49-F238E27FC236}">
              <a16:creationId xmlns:a16="http://schemas.microsoft.com/office/drawing/2014/main" id="{E0C772C1-4B36-47C5-B0C3-320959F01011}"/>
            </a:ext>
          </a:extLst>
        </xdr:cNvPr>
        <xdr:cNvCxnSpPr/>
      </xdr:nvCxnSpPr>
      <xdr:spPr>
        <a:xfrm>
          <a:off x="814379" y="20450193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161916</xdr:colOff>
      <xdr:row>141</xdr:row>
      <xdr:rowOff>18</xdr:rowOff>
    </xdr:from>
    <xdr:to>
      <xdr:col>6</xdr:col>
      <xdr:colOff>38092</xdr:colOff>
      <xdr:row>141</xdr:row>
      <xdr:rowOff>18</xdr:rowOff>
    </xdr:to>
    <xdr:cxnSp macro="">
      <xdr:nvCxnSpPr>
        <xdr:cNvPr id="339" name="Straight Arrow Connector 338">
          <a:extLst>
            <a:ext uri="{FF2B5EF4-FFF2-40B4-BE49-F238E27FC236}">
              <a16:creationId xmlns:a16="http://schemas.microsoft.com/office/drawing/2014/main" id="{B048EC75-4265-4012-BA3C-C9D5BC1652EF}"/>
            </a:ext>
          </a:extLst>
        </xdr:cNvPr>
        <xdr:cNvCxnSpPr/>
      </xdr:nvCxnSpPr>
      <xdr:spPr>
        <a:xfrm>
          <a:off x="809616" y="20593068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161910</xdr:colOff>
      <xdr:row>142</xdr:row>
      <xdr:rowOff>21</xdr:rowOff>
    </xdr:from>
    <xdr:to>
      <xdr:col>6</xdr:col>
      <xdr:colOff>38086</xdr:colOff>
      <xdr:row>142</xdr:row>
      <xdr:rowOff>21</xdr:rowOff>
    </xdr:to>
    <xdr:cxnSp macro="">
      <xdr:nvCxnSpPr>
        <xdr:cNvPr id="340" name="Straight Arrow Connector 339">
          <a:extLst>
            <a:ext uri="{FF2B5EF4-FFF2-40B4-BE49-F238E27FC236}">
              <a16:creationId xmlns:a16="http://schemas.microsoft.com/office/drawing/2014/main" id="{5E82703B-71C4-4A73-9A5F-B80A588FC5D0}"/>
            </a:ext>
          </a:extLst>
        </xdr:cNvPr>
        <xdr:cNvCxnSpPr/>
      </xdr:nvCxnSpPr>
      <xdr:spPr>
        <a:xfrm>
          <a:off x="809610" y="20735946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157147</xdr:colOff>
      <xdr:row>143</xdr:row>
      <xdr:rowOff>21</xdr:rowOff>
    </xdr:from>
    <xdr:to>
      <xdr:col>6</xdr:col>
      <xdr:colOff>33323</xdr:colOff>
      <xdr:row>143</xdr:row>
      <xdr:rowOff>21</xdr:rowOff>
    </xdr:to>
    <xdr:cxnSp macro="">
      <xdr:nvCxnSpPr>
        <xdr:cNvPr id="341" name="Straight Arrow Connector 340">
          <a:extLst>
            <a:ext uri="{FF2B5EF4-FFF2-40B4-BE49-F238E27FC236}">
              <a16:creationId xmlns:a16="http://schemas.microsoft.com/office/drawing/2014/main" id="{A4392B9E-B147-4427-9BB3-492E17BBE7B8}"/>
            </a:ext>
          </a:extLst>
        </xdr:cNvPr>
        <xdr:cNvCxnSpPr/>
      </xdr:nvCxnSpPr>
      <xdr:spPr>
        <a:xfrm>
          <a:off x="804847" y="20878821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</xdr:colOff>
      <xdr:row>132</xdr:row>
      <xdr:rowOff>1</xdr:rowOff>
    </xdr:from>
    <xdr:to>
      <xdr:col>5</xdr:col>
      <xdr:colOff>5</xdr:colOff>
      <xdr:row>143</xdr:row>
      <xdr:rowOff>138113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4DCBEB3C-EEC7-CCEC-C06F-76D9691262F3}"/>
            </a:ext>
          </a:extLst>
        </xdr:cNvPr>
        <xdr:cNvCxnSpPr/>
      </xdr:nvCxnSpPr>
      <xdr:spPr>
        <a:xfrm>
          <a:off x="809630" y="19307176"/>
          <a:ext cx="0" cy="17097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161909</xdr:colOff>
      <xdr:row>144</xdr:row>
      <xdr:rowOff>23</xdr:rowOff>
    </xdr:from>
    <xdr:to>
      <xdr:col>6</xdr:col>
      <xdr:colOff>38085</xdr:colOff>
      <xdr:row>144</xdr:row>
      <xdr:rowOff>23</xdr:rowOff>
    </xdr:to>
    <xdr:cxnSp macro="">
      <xdr:nvCxnSpPr>
        <xdr:cNvPr id="351" name="Straight Arrow Connector 350">
          <a:extLst>
            <a:ext uri="{FF2B5EF4-FFF2-40B4-BE49-F238E27FC236}">
              <a16:creationId xmlns:a16="http://schemas.microsoft.com/office/drawing/2014/main" id="{EC116D17-C8A0-4615-9FC4-75A922BD1D3A}"/>
            </a:ext>
          </a:extLst>
        </xdr:cNvPr>
        <xdr:cNvCxnSpPr/>
      </xdr:nvCxnSpPr>
      <xdr:spPr>
        <a:xfrm>
          <a:off x="809609" y="21021698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161922</xdr:colOff>
      <xdr:row>129</xdr:row>
      <xdr:rowOff>0</xdr:rowOff>
    </xdr:from>
    <xdr:to>
      <xdr:col>41</xdr:col>
      <xdr:colOff>157163</xdr:colOff>
      <xdr:row>144</xdr:row>
      <xdr:rowOff>71438</xdr:rowOff>
    </xdr:to>
    <xdr:grpSp>
      <xdr:nvGrpSpPr>
        <xdr:cNvPr id="128" name="Group 127">
          <a:extLst>
            <a:ext uri="{FF2B5EF4-FFF2-40B4-BE49-F238E27FC236}">
              <a16:creationId xmlns:a16="http://schemas.microsoft.com/office/drawing/2014/main" id="{00A88657-FAC9-DECD-9CBA-A9CC4F1C1147}"/>
            </a:ext>
          </a:extLst>
        </xdr:cNvPr>
        <xdr:cNvGrpSpPr/>
      </xdr:nvGrpSpPr>
      <xdr:grpSpPr>
        <a:xfrm>
          <a:off x="4371972" y="18878550"/>
          <a:ext cx="2424116" cy="2214563"/>
          <a:chOff x="4533897" y="18878550"/>
          <a:chExt cx="2424116" cy="2214563"/>
        </a:xfrm>
      </xdr:grpSpPr>
      <xdr:sp macro="" textlink="">
        <xdr:nvSpPr>
          <xdr:cNvPr id="317" name="Freeform: Shape 316">
            <a:extLst>
              <a:ext uri="{FF2B5EF4-FFF2-40B4-BE49-F238E27FC236}">
                <a16:creationId xmlns:a16="http://schemas.microsoft.com/office/drawing/2014/main" id="{708A3842-D3E5-4B67-909A-AD1110F38ECA}"/>
              </a:ext>
            </a:extLst>
          </xdr:cNvPr>
          <xdr:cNvSpPr/>
        </xdr:nvSpPr>
        <xdr:spPr>
          <a:xfrm>
            <a:off x="4533897" y="193071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2" name="Freeform: Shape 321">
            <a:extLst>
              <a:ext uri="{FF2B5EF4-FFF2-40B4-BE49-F238E27FC236}">
                <a16:creationId xmlns:a16="http://schemas.microsoft.com/office/drawing/2014/main" id="{CD899D49-14E1-4CAC-9D80-1AFF314E8E28}"/>
              </a:ext>
            </a:extLst>
          </xdr:cNvPr>
          <xdr:cNvSpPr/>
        </xdr:nvSpPr>
        <xdr:spPr>
          <a:xfrm>
            <a:off x="6472238" y="19307175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49" name="Freeform: Shape 348">
            <a:extLst>
              <a:ext uri="{FF2B5EF4-FFF2-40B4-BE49-F238E27FC236}">
                <a16:creationId xmlns:a16="http://schemas.microsoft.com/office/drawing/2014/main" id="{BFE55DAA-8273-5E6F-6AC1-168C785AC0E6}"/>
              </a:ext>
            </a:extLst>
          </xdr:cNvPr>
          <xdr:cNvSpPr/>
        </xdr:nvSpPr>
        <xdr:spPr>
          <a:xfrm>
            <a:off x="4538663" y="19316700"/>
            <a:ext cx="673914" cy="1709738"/>
          </a:xfrm>
          <a:custGeom>
            <a:avLst/>
            <a:gdLst>
              <a:gd name="connsiteX0" fmla="*/ 485775 w 673914"/>
              <a:gd name="connsiteY0" fmla="*/ 0 h 1709738"/>
              <a:gd name="connsiteX1" fmla="*/ 647700 w 673914"/>
              <a:gd name="connsiteY1" fmla="*/ 561975 h 1709738"/>
              <a:gd name="connsiteX2" fmla="*/ 0 w 673914"/>
              <a:gd name="connsiteY2" fmla="*/ 1709738 h 1709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73914" h="1709738">
                <a:moveTo>
                  <a:pt x="485775" y="0"/>
                </a:moveTo>
                <a:cubicBezTo>
                  <a:pt x="607218" y="138509"/>
                  <a:pt x="728662" y="277019"/>
                  <a:pt x="647700" y="561975"/>
                </a:cubicBezTo>
                <a:cubicBezTo>
                  <a:pt x="566738" y="846931"/>
                  <a:pt x="283369" y="1278334"/>
                  <a:pt x="0" y="1709738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50" name="Freeform: Shape 349">
            <a:extLst>
              <a:ext uri="{FF2B5EF4-FFF2-40B4-BE49-F238E27FC236}">
                <a16:creationId xmlns:a16="http://schemas.microsoft.com/office/drawing/2014/main" id="{2AF65295-3A29-F6E3-1895-D0DECD89F286}"/>
              </a:ext>
            </a:extLst>
          </xdr:cNvPr>
          <xdr:cNvSpPr/>
        </xdr:nvSpPr>
        <xdr:spPr>
          <a:xfrm>
            <a:off x="4538663" y="18878550"/>
            <a:ext cx="1938337" cy="1000125"/>
          </a:xfrm>
          <a:custGeom>
            <a:avLst/>
            <a:gdLst>
              <a:gd name="connsiteX0" fmla="*/ 0 w 1938337"/>
              <a:gd name="connsiteY0" fmla="*/ 1000125 h 1000125"/>
              <a:gd name="connsiteX1" fmla="*/ 1938337 w 1938337"/>
              <a:gd name="connsiteY1" fmla="*/ 0 h 1000125"/>
              <a:gd name="connsiteX2" fmla="*/ 1938337 w 1938337"/>
              <a:gd name="connsiteY2" fmla="*/ 423863 h 1000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1000125">
                <a:moveTo>
                  <a:pt x="0" y="1000125"/>
                </a:moveTo>
                <a:lnTo>
                  <a:pt x="1938337" y="0"/>
                </a:lnTo>
                <a:lnTo>
                  <a:pt x="1938337" y="4238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352A2E03-CC8E-D0A2-03EF-2DC635631117}"/>
              </a:ext>
            </a:extLst>
          </xdr:cNvPr>
          <xdr:cNvCxnSpPr/>
        </xdr:nvCxnSpPr>
        <xdr:spPr>
          <a:xfrm>
            <a:off x="4533900" y="19683413"/>
            <a:ext cx="681038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C415D9D3-D08D-FE15-74E6-444F9C334EF7}"/>
              </a:ext>
            </a:extLst>
          </xdr:cNvPr>
          <xdr:cNvCxnSpPr/>
        </xdr:nvCxnSpPr>
        <xdr:spPr>
          <a:xfrm>
            <a:off x="5281613" y="19678650"/>
            <a:ext cx="600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B8EBC9B9-C6A0-1F2C-0AC5-8CA714C2F8FD}"/>
              </a:ext>
            </a:extLst>
          </xdr:cNvPr>
          <xdr:cNvCxnSpPr/>
        </xdr:nvCxnSpPr>
        <xdr:spPr>
          <a:xfrm>
            <a:off x="5829300" y="19621500"/>
            <a:ext cx="0" cy="1471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2B97FE8B-0CD2-36E9-AF56-C2A2CC2650E9}"/>
              </a:ext>
            </a:extLst>
          </xdr:cNvPr>
          <xdr:cNvCxnSpPr/>
        </xdr:nvCxnSpPr>
        <xdr:spPr>
          <a:xfrm>
            <a:off x="4681538" y="21021675"/>
            <a:ext cx="1214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0E6E1AD5-33CB-8D95-ABF7-058482998AA6}"/>
              </a:ext>
            </a:extLst>
          </xdr:cNvPr>
          <xdr:cNvCxnSpPr/>
        </xdr:nvCxnSpPr>
        <xdr:spPr>
          <a:xfrm flipH="1">
            <a:off x="5795963" y="209883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Connector 363">
            <a:extLst>
              <a:ext uri="{FF2B5EF4-FFF2-40B4-BE49-F238E27FC236}">
                <a16:creationId xmlns:a16="http://schemas.microsoft.com/office/drawing/2014/main" id="{DD6371A5-64BA-4BC0-9C01-DFC9B3E5276D}"/>
              </a:ext>
            </a:extLst>
          </xdr:cNvPr>
          <xdr:cNvCxnSpPr/>
        </xdr:nvCxnSpPr>
        <xdr:spPr>
          <a:xfrm flipH="1">
            <a:off x="5795963" y="1964531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154</xdr:row>
      <xdr:rowOff>95250</xdr:rowOff>
    </xdr:from>
    <xdr:to>
      <xdr:col>20</xdr:col>
      <xdr:colOff>0</xdr:colOff>
      <xdr:row>174</xdr:row>
      <xdr:rowOff>66675</xdr:rowOff>
    </xdr:to>
    <xdr:grpSp>
      <xdr:nvGrpSpPr>
        <xdr:cNvPr id="149" name="Group 148">
          <a:extLst>
            <a:ext uri="{FF2B5EF4-FFF2-40B4-BE49-F238E27FC236}">
              <a16:creationId xmlns:a16="http://schemas.microsoft.com/office/drawing/2014/main" id="{77DBA3D5-39E9-A09B-C95C-3B324D58A322}"/>
            </a:ext>
          </a:extLst>
        </xdr:cNvPr>
        <xdr:cNvGrpSpPr/>
      </xdr:nvGrpSpPr>
      <xdr:grpSpPr>
        <a:xfrm>
          <a:off x="400050" y="22545675"/>
          <a:ext cx="2838450" cy="2828925"/>
          <a:chOff x="561975" y="22545675"/>
          <a:chExt cx="2838450" cy="2828925"/>
        </a:xfrm>
      </xdr:grpSpPr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8052679B-3559-43C1-B758-83360EB3DB33}"/>
              </a:ext>
            </a:extLst>
          </xdr:cNvPr>
          <xdr:cNvSpPr/>
        </xdr:nvSpPr>
        <xdr:spPr>
          <a:xfrm>
            <a:off x="1138238" y="244554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68" name="Freeform: Shape 367">
            <a:extLst>
              <a:ext uri="{FF2B5EF4-FFF2-40B4-BE49-F238E27FC236}">
                <a16:creationId xmlns:a16="http://schemas.microsoft.com/office/drawing/2014/main" id="{9DEA0476-E0C6-4CEB-B6D1-AE3183CD1841}"/>
              </a:ext>
            </a:extLst>
          </xdr:cNvPr>
          <xdr:cNvSpPr/>
        </xdr:nvSpPr>
        <xdr:spPr>
          <a:xfrm>
            <a:off x="1295401" y="227361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69" name="Oval 368">
            <a:extLst>
              <a:ext uri="{FF2B5EF4-FFF2-40B4-BE49-F238E27FC236}">
                <a16:creationId xmlns:a16="http://schemas.microsoft.com/office/drawing/2014/main" id="{1E11BAEC-6AF0-4B1C-B5D8-456C2A315772}"/>
              </a:ext>
            </a:extLst>
          </xdr:cNvPr>
          <xdr:cNvSpPr/>
        </xdr:nvSpPr>
        <xdr:spPr>
          <a:xfrm>
            <a:off x="1243014" y="243411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70" name="Oval 369">
            <a:extLst>
              <a:ext uri="{FF2B5EF4-FFF2-40B4-BE49-F238E27FC236}">
                <a16:creationId xmlns:a16="http://schemas.microsoft.com/office/drawing/2014/main" id="{C61C1AE8-3183-46B6-8F23-E929383E1F79}"/>
              </a:ext>
            </a:extLst>
          </xdr:cNvPr>
          <xdr:cNvSpPr/>
        </xdr:nvSpPr>
        <xdr:spPr>
          <a:xfrm>
            <a:off x="3186114" y="2434589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71" name="Straight Connector 370">
            <a:extLst>
              <a:ext uri="{FF2B5EF4-FFF2-40B4-BE49-F238E27FC236}">
                <a16:creationId xmlns:a16="http://schemas.microsoft.com/office/drawing/2014/main" id="{E2C418F3-45F5-4D04-BBD6-BE7BE3B664B9}"/>
              </a:ext>
            </a:extLst>
          </xdr:cNvPr>
          <xdr:cNvCxnSpPr/>
        </xdr:nvCxnSpPr>
        <xdr:spPr>
          <a:xfrm>
            <a:off x="1133475" y="244506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09DC44B0-0799-4EC7-A064-A61FFC846B33}"/>
              </a:ext>
            </a:extLst>
          </xdr:cNvPr>
          <xdr:cNvSpPr/>
        </xdr:nvSpPr>
        <xdr:spPr>
          <a:xfrm>
            <a:off x="3081338" y="244601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A7CCBFE5-F1FB-4BFE-BA3B-98489E686676}"/>
              </a:ext>
            </a:extLst>
          </xdr:cNvPr>
          <xdr:cNvCxnSpPr/>
        </xdr:nvCxnSpPr>
        <xdr:spPr>
          <a:xfrm>
            <a:off x="3076575" y="244554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1BB24A95-80C4-4C6C-B13C-477B9652F838}"/>
              </a:ext>
            </a:extLst>
          </xdr:cNvPr>
          <xdr:cNvCxnSpPr/>
        </xdr:nvCxnSpPr>
        <xdr:spPr>
          <a:xfrm>
            <a:off x="576261" y="22736175"/>
            <a:ext cx="4810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040FF0EE-08F8-4385-8CB4-4C8CD136CB18}"/>
              </a:ext>
            </a:extLst>
          </xdr:cNvPr>
          <xdr:cNvCxnSpPr/>
        </xdr:nvCxnSpPr>
        <xdr:spPr>
          <a:xfrm>
            <a:off x="647701" y="226552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3AAD7B7B-C500-4CAC-B815-7ECAD0ECE574}"/>
              </a:ext>
            </a:extLst>
          </xdr:cNvPr>
          <xdr:cNvCxnSpPr/>
        </xdr:nvCxnSpPr>
        <xdr:spPr>
          <a:xfrm flipH="1">
            <a:off x="609600" y="226980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BE39E11A-2C97-4DDA-BBAF-3A1BF83AE40C}"/>
              </a:ext>
            </a:extLst>
          </xdr:cNvPr>
          <xdr:cNvCxnSpPr/>
        </xdr:nvCxnSpPr>
        <xdr:spPr>
          <a:xfrm>
            <a:off x="561975" y="24450675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200F3C82-E786-4C11-AAD8-F66934D00244}"/>
              </a:ext>
            </a:extLst>
          </xdr:cNvPr>
          <xdr:cNvCxnSpPr/>
        </xdr:nvCxnSpPr>
        <xdr:spPr>
          <a:xfrm flipH="1">
            <a:off x="609600" y="2441256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160DF7A8-AFEB-4924-93B2-EBFA079BEDCF}"/>
              </a:ext>
            </a:extLst>
          </xdr:cNvPr>
          <xdr:cNvCxnSpPr/>
        </xdr:nvCxnSpPr>
        <xdr:spPr>
          <a:xfrm>
            <a:off x="1295400" y="250745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FA8CB0C2-46A4-4B2C-AE54-1AEF6DE6AC4F}"/>
              </a:ext>
            </a:extLst>
          </xdr:cNvPr>
          <xdr:cNvCxnSpPr/>
        </xdr:nvCxnSpPr>
        <xdr:spPr>
          <a:xfrm>
            <a:off x="1214439" y="253079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9CDCED9C-1107-4063-AD8F-34CF96987736}"/>
              </a:ext>
            </a:extLst>
          </xdr:cNvPr>
          <xdr:cNvCxnSpPr/>
        </xdr:nvCxnSpPr>
        <xdr:spPr>
          <a:xfrm flipH="1">
            <a:off x="1257302" y="252698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92A1506C-391B-46BE-9C32-5CE26F73AD19}"/>
              </a:ext>
            </a:extLst>
          </xdr:cNvPr>
          <xdr:cNvCxnSpPr/>
        </xdr:nvCxnSpPr>
        <xdr:spPr>
          <a:xfrm>
            <a:off x="3238503" y="250888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9FAA720B-A9CF-4044-82CE-21EC2CA47A41}"/>
              </a:ext>
            </a:extLst>
          </xdr:cNvPr>
          <xdr:cNvCxnSpPr/>
        </xdr:nvCxnSpPr>
        <xdr:spPr>
          <a:xfrm flipH="1">
            <a:off x="3200405" y="252698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Arrow Connector 383">
            <a:extLst>
              <a:ext uri="{FF2B5EF4-FFF2-40B4-BE49-F238E27FC236}">
                <a16:creationId xmlns:a16="http://schemas.microsoft.com/office/drawing/2014/main" id="{BF95322D-1825-495C-AF6B-ABE338F9D814}"/>
              </a:ext>
            </a:extLst>
          </xdr:cNvPr>
          <xdr:cNvCxnSpPr/>
        </xdr:nvCxnSpPr>
        <xdr:spPr>
          <a:xfrm flipV="1">
            <a:off x="3243262" y="245744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Arrow Connector 384">
            <a:extLst>
              <a:ext uri="{FF2B5EF4-FFF2-40B4-BE49-F238E27FC236}">
                <a16:creationId xmlns:a16="http://schemas.microsoft.com/office/drawing/2014/main" id="{36C0AE83-1FAD-48F8-A886-4E8BC86F33F8}"/>
              </a:ext>
            </a:extLst>
          </xdr:cNvPr>
          <xdr:cNvCxnSpPr/>
        </xdr:nvCxnSpPr>
        <xdr:spPr>
          <a:xfrm flipV="1">
            <a:off x="1290638" y="24579256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Arrow Connector 385">
            <a:extLst>
              <a:ext uri="{FF2B5EF4-FFF2-40B4-BE49-F238E27FC236}">
                <a16:creationId xmlns:a16="http://schemas.microsoft.com/office/drawing/2014/main" id="{1097C439-3015-4E1B-9379-7B0895499449}"/>
              </a:ext>
            </a:extLst>
          </xdr:cNvPr>
          <xdr:cNvCxnSpPr/>
        </xdr:nvCxnSpPr>
        <xdr:spPr>
          <a:xfrm>
            <a:off x="1490663" y="24455430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3317232A-BD46-4A5E-8889-BED4834A31CC}"/>
              </a:ext>
            </a:extLst>
          </xdr:cNvPr>
          <xdr:cNvCxnSpPr/>
        </xdr:nvCxnSpPr>
        <xdr:spPr>
          <a:xfrm flipH="1">
            <a:off x="2738437" y="24455437"/>
            <a:ext cx="309563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3" name="Arc 412">
            <a:extLst>
              <a:ext uri="{FF2B5EF4-FFF2-40B4-BE49-F238E27FC236}">
                <a16:creationId xmlns:a16="http://schemas.microsoft.com/office/drawing/2014/main" id="{D42600D2-F917-1FC2-4827-4C5C5441A125}"/>
              </a:ext>
            </a:extLst>
          </xdr:cNvPr>
          <xdr:cNvSpPr/>
        </xdr:nvSpPr>
        <xdr:spPr>
          <a:xfrm>
            <a:off x="1123950" y="22545675"/>
            <a:ext cx="495300" cy="495300"/>
          </a:xfrm>
          <a:prstGeom prst="arc">
            <a:avLst>
              <a:gd name="adj1" fmla="val 9408085"/>
              <a:gd name="adj2" fmla="val 17366402"/>
            </a:avLst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26</xdr:col>
      <xdr:colOff>161922</xdr:colOff>
      <xdr:row>152</xdr:row>
      <xdr:rowOff>9525</xdr:rowOff>
    </xdr:from>
    <xdr:to>
      <xdr:col>39</xdr:col>
      <xdr:colOff>0</xdr:colOff>
      <xdr:row>168</xdr:row>
      <xdr:rowOff>4763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A97A2AD4-8433-74FC-92FA-E55FB37E617B}"/>
            </a:ext>
          </a:extLst>
        </xdr:cNvPr>
        <xdr:cNvGrpSpPr/>
      </xdr:nvGrpSpPr>
      <xdr:grpSpPr>
        <a:xfrm>
          <a:off x="4371972" y="22174200"/>
          <a:ext cx="1943103" cy="2281238"/>
          <a:chOff x="4533897" y="22174200"/>
          <a:chExt cx="1943103" cy="2281238"/>
        </a:xfrm>
      </xdr:grpSpPr>
      <xdr:sp macro="" textlink="">
        <xdr:nvSpPr>
          <xdr:cNvPr id="388" name="Freeform: Shape 387">
            <a:extLst>
              <a:ext uri="{FF2B5EF4-FFF2-40B4-BE49-F238E27FC236}">
                <a16:creationId xmlns:a16="http://schemas.microsoft.com/office/drawing/2014/main" id="{39AA80C0-9504-441C-A541-2CC0CF1E8C94}"/>
              </a:ext>
            </a:extLst>
          </xdr:cNvPr>
          <xdr:cNvSpPr/>
        </xdr:nvSpPr>
        <xdr:spPr>
          <a:xfrm>
            <a:off x="4533897" y="227361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15" name="Straight Connector 414">
            <a:extLst>
              <a:ext uri="{FF2B5EF4-FFF2-40B4-BE49-F238E27FC236}">
                <a16:creationId xmlns:a16="http://schemas.microsoft.com/office/drawing/2014/main" id="{4A8DDDEA-BB2B-6287-3AE8-322BCC0B28C0}"/>
              </a:ext>
            </a:extLst>
          </xdr:cNvPr>
          <xdr:cNvCxnSpPr>
            <a:stCxn id="388" idx="0"/>
          </xdr:cNvCxnSpPr>
        </xdr:nvCxnSpPr>
        <xdr:spPr>
          <a:xfrm flipV="1">
            <a:off x="4533897" y="22736175"/>
            <a:ext cx="496053" cy="17145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6" name="Freeform: Shape 415">
            <a:extLst>
              <a:ext uri="{FF2B5EF4-FFF2-40B4-BE49-F238E27FC236}">
                <a16:creationId xmlns:a16="http://schemas.microsoft.com/office/drawing/2014/main" id="{4E9DF05D-1829-31C5-2339-A87592BA5685}"/>
              </a:ext>
            </a:extLst>
          </xdr:cNvPr>
          <xdr:cNvSpPr/>
        </xdr:nvSpPr>
        <xdr:spPr>
          <a:xfrm>
            <a:off x="4538663" y="22174200"/>
            <a:ext cx="1938337" cy="985838"/>
          </a:xfrm>
          <a:custGeom>
            <a:avLst/>
            <a:gdLst>
              <a:gd name="connsiteX0" fmla="*/ 0 w 1938337"/>
              <a:gd name="connsiteY0" fmla="*/ 557213 h 985838"/>
              <a:gd name="connsiteX1" fmla="*/ 0 w 1938337"/>
              <a:gd name="connsiteY1" fmla="*/ 0 h 985838"/>
              <a:gd name="connsiteX2" fmla="*/ 1938337 w 1938337"/>
              <a:gd name="connsiteY2" fmla="*/ 985838 h 9858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985838">
                <a:moveTo>
                  <a:pt x="0" y="557213"/>
                </a:moveTo>
                <a:lnTo>
                  <a:pt x="0" y="0"/>
                </a:lnTo>
                <a:lnTo>
                  <a:pt x="1938337" y="98583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0D452958-6FEC-4CDB-97B2-C83C28AA344C}"/>
              </a:ext>
            </a:extLst>
          </xdr:cNvPr>
          <xdr:cNvCxnSpPr>
            <a:stCxn id="388" idx="3"/>
          </xdr:cNvCxnSpPr>
        </xdr:nvCxnSpPr>
        <xdr:spPr>
          <a:xfrm flipH="1" flipV="1">
            <a:off x="5991225" y="22740938"/>
            <a:ext cx="485772" cy="17145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178</xdr:row>
      <xdr:rowOff>61911</xdr:rowOff>
    </xdr:from>
    <xdr:to>
      <xdr:col>22</xdr:col>
      <xdr:colOff>9525</xdr:colOff>
      <xdr:row>197</xdr:row>
      <xdr:rowOff>66675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85D7D634-DE04-4D9B-D07B-7D3078345869}"/>
            </a:ext>
          </a:extLst>
        </xdr:cNvPr>
        <xdr:cNvGrpSpPr/>
      </xdr:nvGrpSpPr>
      <xdr:grpSpPr>
        <a:xfrm>
          <a:off x="400050" y="25941336"/>
          <a:ext cx="3171825" cy="2719389"/>
          <a:chOff x="561975" y="25941336"/>
          <a:chExt cx="3171825" cy="2719389"/>
        </a:xfrm>
      </xdr:grpSpPr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FCD515B2-29AE-4A1D-9E0E-20FF5AF9CD44}"/>
              </a:ext>
            </a:extLst>
          </xdr:cNvPr>
          <xdr:cNvSpPr/>
        </xdr:nvSpPr>
        <xdr:spPr>
          <a:xfrm>
            <a:off x="1138238" y="277415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4" name="Freeform: Shape 423">
            <a:extLst>
              <a:ext uri="{FF2B5EF4-FFF2-40B4-BE49-F238E27FC236}">
                <a16:creationId xmlns:a16="http://schemas.microsoft.com/office/drawing/2014/main" id="{424830B8-B9A3-418C-8D60-E186697234AE}"/>
              </a:ext>
            </a:extLst>
          </xdr:cNvPr>
          <xdr:cNvSpPr/>
        </xdr:nvSpPr>
        <xdr:spPr>
          <a:xfrm>
            <a:off x="1295401" y="260223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5" name="Oval 424">
            <a:extLst>
              <a:ext uri="{FF2B5EF4-FFF2-40B4-BE49-F238E27FC236}">
                <a16:creationId xmlns:a16="http://schemas.microsoft.com/office/drawing/2014/main" id="{A0615702-70EB-4F00-AD3C-C4633F22CF41}"/>
              </a:ext>
            </a:extLst>
          </xdr:cNvPr>
          <xdr:cNvSpPr/>
        </xdr:nvSpPr>
        <xdr:spPr>
          <a:xfrm>
            <a:off x="1243014" y="276272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6" name="Oval 425">
            <a:extLst>
              <a:ext uri="{FF2B5EF4-FFF2-40B4-BE49-F238E27FC236}">
                <a16:creationId xmlns:a16="http://schemas.microsoft.com/office/drawing/2014/main" id="{B121BE07-9569-463A-BC81-4E8D6EC4DA91}"/>
              </a:ext>
            </a:extLst>
          </xdr:cNvPr>
          <xdr:cNvSpPr/>
        </xdr:nvSpPr>
        <xdr:spPr>
          <a:xfrm>
            <a:off x="3186114" y="276320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51201084-6C21-4760-B70A-FA60F60D974E}"/>
              </a:ext>
            </a:extLst>
          </xdr:cNvPr>
          <xdr:cNvCxnSpPr/>
        </xdr:nvCxnSpPr>
        <xdr:spPr>
          <a:xfrm>
            <a:off x="1133475" y="277367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9A3CA2EA-0BC5-4201-97FF-A27C7BCAE0C4}"/>
              </a:ext>
            </a:extLst>
          </xdr:cNvPr>
          <xdr:cNvSpPr/>
        </xdr:nvSpPr>
        <xdr:spPr>
          <a:xfrm>
            <a:off x="3081338" y="277463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id="{EF2E8989-C473-4B2E-A531-3D18101D2306}"/>
              </a:ext>
            </a:extLst>
          </xdr:cNvPr>
          <xdr:cNvCxnSpPr/>
        </xdr:nvCxnSpPr>
        <xdr:spPr>
          <a:xfrm>
            <a:off x="3076575" y="277415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7295F7D2-95C6-45D1-9305-1DB5C7DE3D99}"/>
              </a:ext>
            </a:extLst>
          </xdr:cNvPr>
          <xdr:cNvCxnSpPr/>
        </xdr:nvCxnSpPr>
        <xdr:spPr>
          <a:xfrm>
            <a:off x="576261" y="26022300"/>
            <a:ext cx="6477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EBC9392E-0105-4C60-81C9-93DD00920A31}"/>
              </a:ext>
            </a:extLst>
          </xdr:cNvPr>
          <xdr:cNvCxnSpPr/>
        </xdr:nvCxnSpPr>
        <xdr:spPr>
          <a:xfrm>
            <a:off x="647701" y="259413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B4161C71-43E2-4456-83A2-14C1C924885B}"/>
              </a:ext>
            </a:extLst>
          </xdr:cNvPr>
          <xdr:cNvCxnSpPr/>
        </xdr:nvCxnSpPr>
        <xdr:spPr>
          <a:xfrm flipH="1">
            <a:off x="609600" y="259841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3743B63A-497B-4910-BACE-637F4E18D9A6}"/>
              </a:ext>
            </a:extLst>
          </xdr:cNvPr>
          <xdr:cNvCxnSpPr/>
        </xdr:nvCxnSpPr>
        <xdr:spPr>
          <a:xfrm>
            <a:off x="561975" y="27736800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80093922-ED7B-4887-B212-E263289395C5}"/>
              </a:ext>
            </a:extLst>
          </xdr:cNvPr>
          <xdr:cNvCxnSpPr/>
        </xdr:nvCxnSpPr>
        <xdr:spPr>
          <a:xfrm flipH="1">
            <a:off x="609600" y="2769869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69533BF2-87E9-4144-97AF-1F2580D2F118}"/>
              </a:ext>
            </a:extLst>
          </xdr:cNvPr>
          <xdr:cNvCxnSpPr/>
        </xdr:nvCxnSpPr>
        <xdr:spPr>
          <a:xfrm>
            <a:off x="1295400" y="283606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3BED5A1F-875C-495E-BD0C-158DDEBF3F9E}"/>
              </a:ext>
            </a:extLst>
          </xdr:cNvPr>
          <xdr:cNvCxnSpPr/>
        </xdr:nvCxnSpPr>
        <xdr:spPr>
          <a:xfrm>
            <a:off x="1214439" y="2859405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EB90E18B-20F6-488A-9449-8109C4E03A10}"/>
              </a:ext>
            </a:extLst>
          </xdr:cNvPr>
          <xdr:cNvCxnSpPr/>
        </xdr:nvCxnSpPr>
        <xdr:spPr>
          <a:xfrm flipH="1">
            <a:off x="1257302" y="285559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9F124649-C0F0-4CA3-809B-38CFB45F752D}"/>
              </a:ext>
            </a:extLst>
          </xdr:cNvPr>
          <xdr:cNvCxnSpPr/>
        </xdr:nvCxnSpPr>
        <xdr:spPr>
          <a:xfrm>
            <a:off x="3238503" y="283749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9500C82B-E754-4C00-840A-7903EDE23A3B}"/>
              </a:ext>
            </a:extLst>
          </xdr:cNvPr>
          <xdr:cNvCxnSpPr/>
        </xdr:nvCxnSpPr>
        <xdr:spPr>
          <a:xfrm flipH="1">
            <a:off x="3200405" y="285559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Arrow Connector 439">
            <a:extLst>
              <a:ext uri="{FF2B5EF4-FFF2-40B4-BE49-F238E27FC236}">
                <a16:creationId xmlns:a16="http://schemas.microsoft.com/office/drawing/2014/main" id="{BBAFA084-EF22-40E7-A371-2B351D63CEAC}"/>
              </a:ext>
            </a:extLst>
          </xdr:cNvPr>
          <xdr:cNvCxnSpPr/>
        </xdr:nvCxnSpPr>
        <xdr:spPr>
          <a:xfrm flipV="1">
            <a:off x="1295399" y="27865381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Arrow Connector 440">
            <a:extLst>
              <a:ext uri="{FF2B5EF4-FFF2-40B4-BE49-F238E27FC236}">
                <a16:creationId xmlns:a16="http://schemas.microsoft.com/office/drawing/2014/main" id="{2E03697E-AE0E-4C0B-B226-B41757E99705}"/>
              </a:ext>
            </a:extLst>
          </xdr:cNvPr>
          <xdr:cNvCxnSpPr/>
        </xdr:nvCxnSpPr>
        <xdr:spPr>
          <a:xfrm flipV="1">
            <a:off x="3238501" y="27865381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Arrow Connector 441">
            <a:extLst>
              <a:ext uri="{FF2B5EF4-FFF2-40B4-BE49-F238E27FC236}">
                <a16:creationId xmlns:a16="http://schemas.microsoft.com/office/drawing/2014/main" id="{528864C7-F0CA-4B26-A98D-505648CDA66C}"/>
              </a:ext>
            </a:extLst>
          </xdr:cNvPr>
          <xdr:cNvCxnSpPr/>
        </xdr:nvCxnSpPr>
        <xdr:spPr>
          <a:xfrm>
            <a:off x="1490663" y="27741555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Arrow Connector 442">
            <a:extLst>
              <a:ext uri="{FF2B5EF4-FFF2-40B4-BE49-F238E27FC236}">
                <a16:creationId xmlns:a16="http://schemas.microsoft.com/office/drawing/2014/main" id="{0CD069B5-28B6-4E23-A15E-50D4C273606B}"/>
              </a:ext>
            </a:extLst>
          </xdr:cNvPr>
          <xdr:cNvCxnSpPr/>
        </xdr:nvCxnSpPr>
        <xdr:spPr>
          <a:xfrm flipH="1">
            <a:off x="3424237" y="27741562"/>
            <a:ext cx="309563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Arrow Connector 448">
            <a:extLst>
              <a:ext uri="{FF2B5EF4-FFF2-40B4-BE49-F238E27FC236}">
                <a16:creationId xmlns:a16="http://schemas.microsoft.com/office/drawing/2014/main" id="{F597C825-30E1-4125-9879-838668EB703E}"/>
              </a:ext>
            </a:extLst>
          </xdr:cNvPr>
          <xdr:cNvCxnSpPr/>
        </xdr:nvCxnSpPr>
        <xdr:spPr>
          <a:xfrm flipH="1">
            <a:off x="885825" y="26589045"/>
            <a:ext cx="400050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24317250-F0DF-4228-BF2F-2BB2A85D6A44}"/>
              </a:ext>
            </a:extLst>
          </xdr:cNvPr>
          <xdr:cNvCxnSpPr/>
        </xdr:nvCxnSpPr>
        <xdr:spPr>
          <a:xfrm>
            <a:off x="971551" y="25941338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82E77158-FB8C-45E4-8B61-A996CB4C97EC}"/>
              </a:ext>
            </a:extLst>
          </xdr:cNvPr>
          <xdr:cNvCxnSpPr/>
        </xdr:nvCxnSpPr>
        <xdr:spPr>
          <a:xfrm flipH="1">
            <a:off x="933450" y="259842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5AE133B5-C99F-4CE5-80B6-99709EA90F91}"/>
              </a:ext>
            </a:extLst>
          </xdr:cNvPr>
          <xdr:cNvCxnSpPr/>
        </xdr:nvCxnSpPr>
        <xdr:spPr>
          <a:xfrm flipH="1">
            <a:off x="933450" y="2769869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Connector 455">
            <a:extLst>
              <a:ext uri="{FF2B5EF4-FFF2-40B4-BE49-F238E27FC236}">
                <a16:creationId xmlns:a16="http://schemas.microsoft.com/office/drawing/2014/main" id="{7CD9FC8F-CCCF-4DAC-A97B-7FD58F81A3FE}"/>
              </a:ext>
            </a:extLst>
          </xdr:cNvPr>
          <xdr:cNvCxnSpPr/>
        </xdr:nvCxnSpPr>
        <xdr:spPr>
          <a:xfrm flipH="1">
            <a:off x="933451" y="265557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161922</xdr:colOff>
      <xdr:row>176</xdr:row>
      <xdr:rowOff>4763</xdr:rowOff>
    </xdr:from>
    <xdr:to>
      <xdr:col>42</xdr:col>
      <xdr:colOff>14288</xdr:colOff>
      <xdr:row>191</xdr:row>
      <xdr:rowOff>4763</xdr:rowOff>
    </xdr:to>
    <xdr:grpSp>
      <xdr:nvGrpSpPr>
        <xdr:cNvPr id="152" name="Group 151">
          <a:extLst>
            <a:ext uri="{FF2B5EF4-FFF2-40B4-BE49-F238E27FC236}">
              <a16:creationId xmlns:a16="http://schemas.microsoft.com/office/drawing/2014/main" id="{5F9328A0-F308-CD14-C059-730216A7AA15}"/>
            </a:ext>
          </a:extLst>
        </xdr:cNvPr>
        <xdr:cNvGrpSpPr/>
      </xdr:nvGrpSpPr>
      <xdr:grpSpPr>
        <a:xfrm>
          <a:off x="4371972" y="25598438"/>
          <a:ext cx="2443166" cy="2143125"/>
          <a:chOff x="4533897" y="25598438"/>
          <a:chExt cx="2443166" cy="2143125"/>
        </a:xfrm>
      </xdr:grpSpPr>
      <xdr:sp macro="" textlink="">
        <xdr:nvSpPr>
          <xdr:cNvPr id="444" name="Freeform: Shape 443">
            <a:extLst>
              <a:ext uri="{FF2B5EF4-FFF2-40B4-BE49-F238E27FC236}">
                <a16:creationId xmlns:a16="http://schemas.microsoft.com/office/drawing/2014/main" id="{E4873986-FD8D-4F91-9A03-BDB5BB0AF47C}"/>
              </a:ext>
            </a:extLst>
          </xdr:cNvPr>
          <xdr:cNvSpPr/>
        </xdr:nvSpPr>
        <xdr:spPr>
          <a:xfrm>
            <a:off x="4533897" y="260223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58" name="Freeform: Shape 457">
            <a:extLst>
              <a:ext uri="{FF2B5EF4-FFF2-40B4-BE49-F238E27FC236}">
                <a16:creationId xmlns:a16="http://schemas.microsoft.com/office/drawing/2014/main" id="{996BD833-20FD-339B-681D-94F156A23CDD}"/>
              </a:ext>
            </a:extLst>
          </xdr:cNvPr>
          <xdr:cNvSpPr/>
        </xdr:nvSpPr>
        <xdr:spPr>
          <a:xfrm>
            <a:off x="6481763" y="26027062"/>
            <a:ext cx="495300" cy="1714500"/>
          </a:xfrm>
          <a:custGeom>
            <a:avLst/>
            <a:gdLst>
              <a:gd name="connsiteX0" fmla="*/ 4762 w 495300"/>
              <a:gd name="connsiteY0" fmla="*/ 0 h 1714500"/>
              <a:gd name="connsiteX1" fmla="*/ 495300 w 495300"/>
              <a:gd name="connsiteY1" fmla="*/ 0 h 1714500"/>
              <a:gd name="connsiteX2" fmla="*/ 0 w 495300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4500">
                <a:moveTo>
                  <a:pt x="4762" y="0"/>
                </a:moveTo>
                <a:lnTo>
                  <a:pt x="495300" y="0"/>
                </a:lnTo>
                <a:lnTo>
                  <a:pt x="0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59" name="Freeform: Shape 458">
            <a:extLst>
              <a:ext uri="{FF2B5EF4-FFF2-40B4-BE49-F238E27FC236}">
                <a16:creationId xmlns:a16="http://schemas.microsoft.com/office/drawing/2014/main" id="{4E595BCA-07FE-01F8-FE2F-B9A3FEBF2332}"/>
              </a:ext>
            </a:extLst>
          </xdr:cNvPr>
          <xdr:cNvSpPr/>
        </xdr:nvSpPr>
        <xdr:spPr>
          <a:xfrm>
            <a:off x="4533900" y="25598438"/>
            <a:ext cx="1943100" cy="852487"/>
          </a:xfrm>
          <a:custGeom>
            <a:avLst/>
            <a:gdLst>
              <a:gd name="connsiteX0" fmla="*/ 0 w 1943100"/>
              <a:gd name="connsiteY0" fmla="*/ 852487 h 852487"/>
              <a:gd name="connsiteX1" fmla="*/ 1943100 w 1943100"/>
              <a:gd name="connsiteY1" fmla="*/ 0 h 852487"/>
              <a:gd name="connsiteX2" fmla="*/ 1943100 w 1943100"/>
              <a:gd name="connsiteY2" fmla="*/ 423862 h 8524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52487">
                <a:moveTo>
                  <a:pt x="0" y="852487"/>
                </a:moveTo>
                <a:lnTo>
                  <a:pt x="1943100" y="0"/>
                </a:lnTo>
                <a:lnTo>
                  <a:pt x="1943100" y="4238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60" name="Freeform: Shape 459">
            <a:extLst>
              <a:ext uri="{FF2B5EF4-FFF2-40B4-BE49-F238E27FC236}">
                <a16:creationId xmlns:a16="http://schemas.microsoft.com/office/drawing/2014/main" id="{9193AFC7-1095-E381-FF49-39EDA6ED0A36}"/>
              </a:ext>
            </a:extLst>
          </xdr:cNvPr>
          <xdr:cNvSpPr/>
        </xdr:nvSpPr>
        <xdr:spPr>
          <a:xfrm>
            <a:off x="4538663" y="26022300"/>
            <a:ext cx="647700" cy="1704975"/>
          </a:xfrm>
          <a:custGeom>
            <a:avLst/>
            <a:gdLst>
              <a:gd name="connsiteX0" fmla="*/ 323850 w 647700"/>
              <a:gd name="connsiteY0" fmla="*/ 0 h 1704975"/>
              <a:gd name="connsiteX1" fmla="*/ 647700 w 647700"/>
              <a:gd name="connsiteY1" fmla="*/ 566738 h 1704975"/>
              <a:gd name="connsiteX2" fmla="*/ 0 w 647700"/>
              <a:gd name="connsiteY2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1704975">
                <a:moveTo>
                  <a:pt x="323850" y="0"/>
                </a:moveTo>
                <a:lnTo>
                  <a:pt x="647700" y="566738"/>
                </a:lnTo>
                <a:lnTo>
                  <a:pt x="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199</xdr:row>
      <xdr:rowOff>80960</xdr:rowOff>
    </xdr:from>
    <xdr:to>
      <xdr:col>22</xdr:col>
      <xdr:colOff>9525</xdr:colOff>
      <xdr:row>220</xdr:row>
      <xdr:rowOff>66675</xdr:rowOff>
    </xdr:to>
    <xdr:grpSp>
      <xdr:nvGrpSpPr>
        <xdr:cNvPr id="153" name="Group 152">
          <a:extLst>
            <a:ext uri="{FF2B5EF4-FFF2-40B4-BE49-F238E27FC236}">
              <a16:creationId xmlns:a16="http://schemas.microsoft.com/office/drawing/2014/main" id="{4502039E-4520-D26F-F9AD-3F03676203AB}"/>
            </a:ext>
          </a:extLst>
        </xdr:cNvPr>
        <xdr:cNvGrpSpPr/>
      </xdr:nvGrpSpPr>
      <xdr:grpSpPr>
        <a:xfrm>
          <a:off x="400050" y="28960760"/>
          <a:ext cx="3171825" cy="2986090"/>
          <a:chOff x="561975" y="28960760"/>
          <a:chExt cx="3171825" cy="2986090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7002CF9D-91A1-4A20-B1B0-56F7E95AD27B}"/>
              </a:ext>
            </a:extLst>
          </xdr:cNvPr>
          <xdr:cNvSpPr/>
        </xdr:nvSpPr>
        <xdr:spPr>
          <a:xfrm>
            <a:off x="1138238" y="310276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62" name="Freeform: Shape 461">
            <a:extLst>
              <a:ext uri="{FF2B5EF4-FFF2-40B4-BE49-F238E27FC236}">
                <a16:creationId xmlns:a16="http://schemas.microsoft.com/office/drawing/2014/main" id="{0FE008D1-A5CB-4BDC-AAD4-1FF47FDDB1AC}"/>
              </a:ext>
            </a:extLst>
          </xdr:cNvPr>
          <xdr:cNvSpPr/>
        </xdr:nvSpPr>
        <xdr:spPr>
          <a:xfrm>
            <a:off x="1295401" y="293084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63" name="Oval 462">
            <a:extLst>
              <a:ext uri="{FF2B5EF4-FFF2-40B4-BE49-F238E27FC236}">
                <a16:creationId xmlns:a16="http://schemas.microsoft.com/office/drawing/2014/main" id="{7064A93D-9198-4A22-939C-9392C180E708}"/>
              </a:ext>
            </a:extLst>
          </xdr:cNvPr>
          <xdr:cNvSpPr/>
        </xdr:nvSpPr>
        <xdr:spPr>
          <a:xfrm>
            <a:off x="1243014" y="309133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64" name="Oval 463">
            <a:extLst>
              <a:ext uri="{FF2B5EF4-FFF2-40B4-BE49-F238E27FC236}">
                <a16:creationId xmlns:a16="http://schemas.microsoft.com/office/drawing/2014/main" id="{D8C47C3D-6A50-455B-8247-4835D2CB8D0F}"/>
              </a:ext>
            </a:extLst>
          </xdr:cNvPr>
          <xdr:cNvSpPr/>
        </xdr:nvSpPr>
        <xdr:spPr>
          <a:xfrm>
            <a:off x="3186114" y="3091814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2D4D2A83-48A7-4335-BB41-69B33615F9BC}"/>
              </a:ext>
            </a:extLst>
          </xdr:cNvPr>
          <xdr:cNvCxnSpPr/>
        </xdr:nvCxnSpPr>
        <xdr:spPr>
          <a:xfrm>
            <a:off x="1133475" y="310229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10E8E905-1A25-49F1-A80E-524091F90476}"/>
              </a:ext>
            </a:extLst>
          </xdr:cNvPr>
          <xdr:cNvSpPr/>
        </xdr:nvSpPr>
        <xdr:spPr>
          <a:xfrm>
            <a:off x="3081338" y="310324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4A957683-FA59-4ABC-AB1A-13B231D48A95}"/>
              </a:ext>
            </a:extLst>
          </xdr:cNvPr>
          <xdr:cNvCxnSpPr/>
        </xdr:nvCxnSpPr>
        <xdr:spPr>
          <a:xfrm>
            <a:off x="3076575" y="310276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9A82FACE-E556-4311-A415-85492694224B}"/>
              </a:ext>
            </a:extLst>
          </xdr:cNvPr>
          <xdr:cNvCxnSpPr/>
        </xdr:nvCxnSpPr>
        <xdr:spPr>
          <a:xfrm>
            <a:off x="576261" y="29308425"/>
            <a:ext cx="6477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2D5A3BBE-A370-4CAD-88D9-C201F7CFA57D}"/>
              </a:ext>
            </a:extLst>
          </xdr:cNvPr>
          <xdr:cNvCxnSpPr/>
        </xdr:nvCxnSpPr>
        <xdr:spPr>
          <a:xfrm>
            <a:off x="647701" y="292274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ADA91613-8E3F-450A-8B05-8C1AB9EC9169}"/>
              </a:ext>
            </a:extLst>
          </xdr:cNvPr>
          <xdr:cNvCxnSpPr/>
        </xdr:nvCxnSpPr>
        <xdr:spPr>
          <a:xfrm flipH="1">
            <a:off x="609600" y="292703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Connector 470">
            <a:extLst>
              <a:ext uri="{FF2B5EF4-FFF2-40B4-BE49-F238E27FC236}">
                <a16:creationId xmlns:a16="http://schemas.microsoft.com/office/drawing/2014/main" id="{92715E14-49A6-48F8-A7A2-D75AB59B0260}"/>
              </a:ext>
            </a:extLst>
          </xdr:cNvPr>
          <xdr:cNvCxnSpPr/>
        </xdr:nvCxnSpPr>
        <xdr:spPr>
          <a:xfrm>
            <a:off x="561975" y="31022925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084BCBC6-BF2E-4F80-925A-6DA84D6577A2}"/>
              </a:ext>
            </a:extLst>
          </xdr:cNvPr>
          <xdr:cNvCxnSpPr/>
        </xdr:nvCxnSpPr>
        <xdr:spPr>
          <a:xfrm flipH="1">
            <a:off x="609600" y="3098481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E12EAE8F-C1D4-4555-9DE7-513F8928C2E4}"/>
              </a:ext>
            </a:extLst>
          </xdr:cNvPr>
          <xdr:cNvCxnSpPr/>
        </xdr:nvCxnSpPr>
        <xdr:spPr>
          <a:xfrm>
            <a:off x="1295400" y="316468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5588E804-C9FA-4FA1-9183-B9A5FAD20669}"/>
              </a:ext>
            </a:extLst>
          </xdr:cNvPr>
          <xdr:cNvCxnSpPr/>
        </xdr:nvCxnSpPr>
        <xdr:spPr>
          <a:xfrm>
            <a:off x="1214439" y="318801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493635ED-3E1D-4ADA-8B8D-BCE58DF1BE90}"/>
              </a:ext>
            </a:extLst>
          </xdr:cNvPr>
          <xdr:cNvCxnSpPr/>
        </xdr:nvCxnSpPr>
        <xdr:spPr>
          <a:xfrm flipH="1">
            <a:off x="1257302" y="318420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B7B69EDC-D8C0-45E7-AADE-34172A37205B}"/>
              </a:ext>
            </a:extLst>
          </xdr:cNvPr>
          <xdr:cNvCxnSpPr/>
        </xdr:nvCxnSpPr>
        <xdr:spPr>
          <a:xfrm>
            <a:off x="3238503" y="316611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Connector 476">
            <a:extLst>
              <a:ext uri="{FF2B5EF4-FFF2-40B4-BE49-F238E27FC236}">
                <a16:creationId xmlns:a16="http://schemas.microsoft.com/office/drawing/2014/main" id="{C7CA2F84-D2C8-47A1-BBEE-DDF27F790770}"/>
              </a:ext>
            </a:extLst>
          </xdr:cNvPr>
          <xdr:cNvCxnSpPr/>
        </xdr:nvCxnSpPr>
        <xdr:spPr>
          <a:xfrm flipH="1">
            <a:off x="3200405" y="318420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Arrow Connector 478">
            <a:extLst>
              <a:ext uri="{FF2B5EF4-FFF2-40B4-BE49-F238E27FC236}">
                <a16:creationId xmlns:a16="http://schemas.microsoft.com/office/drawing/2014/main" id="{22D6BE96-BA68-4C5C-94AB-D1F361C9B7E9}"/>
              </a:ext>
            </a:extLst>
          </xdr:cNvPr>
          <xdr:cNvCxnSpPr/>
        </xdr:nvCxnSpPr>
        <xdr:spPr>
          <a:xfrm flipV="1">
            <a:off x="3238501" y="31151506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Arrow Connector 479">
            <a:extLst>
              <a:ext uri="{FF2B5EF4-FFF2-40B4-BE49-F238E27FC236}">
                <a16:creationId xmlns:a16="http://schemas.microsoft.com/office/drawing/2014/main" id="{E03C210C-A0A6-4FD3-BEFE-8862386D76E0}"/>
              </a:ext>
            </a:extLst>
          </xdr:cNvPr>
          <xdr:cNvCxnSpPr/>
        </xdr:nvCxnSpPr>
        <xdr:spPr>
          <a:xfrm>
            <a:off x="838200" y="31032443"/>
            <a:ext cx="300037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Arrow Connector 480">
            <a:extLst>
              <a:ext uri="{FF2B5EF4-FFF2-40B4-BE49-F238E27FC236}">
                <a16:creationId xmlns:a16="http://schemas.microsoft.com/office/drawing/2014/main" id="{5DD816EC-D1CF-4658-AB25-0C90D3A38AF9}"/>
              </a:ext>
            </a:extLst>
          </xdr:cNvPr>
          <xdr:cNvCxnSpPr/>
        </xdr:nvCxnSpPr>
        <xdr:spPr>
          <a:xfrm flipH="1">
            <a:off x="3424237" y="31027687"/>
            <a:ext cx="309563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098AA661-F038-4298-985C-D8F471F420A3}"/>
              </a:ext>
            </a:extLst>
          </xdr:cNvPr>
          <xdr:cNvCxnSpPr/>
        </xdr:nvCxnSpPr>
        <xdr:spPr>
          <a:xfrm>
            <a:off x="971551" y="29227463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8DBBFFBF-B46D-4DBB-86FF-8282E811E839}"/>
              </a:ext>
            </a:extLst>
          </xdr:cNvPr>
          <xdr:cNvCxnSpPr/>
        </xdr:nvCxnSpPr>
        <xdr:spPr>
          <a:xfrm flipH="1">
            <a:off x="933451" y="29270327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3A3AF264-3554-4C40-AEC3-EF30C158A8A7}"/>
              </a:ext>
            </a:extLst>
          </xdr:cNvPr>
          <xdr:cNvCxnSpPr/>
        </xdr:nvCxnSpPr>
        <xdr:spPr>
          <a:xfrm flipH="1">
            <a:off x="933450" y="309848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B59035D2-49ED-49D1-92BF-3B33871210EA}"/>
              </a:ext>
            </a:extLst>
          </xdr:cNvPr>
          <xdr:cNvCxnSpPr/>
        </xdr:nvCxnSpPr>
        <xdr:spPr>
          <a:xfrm flipH="1">
            <a:off x="933451" y="298418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D94D7CB4-8BF7-996A-7485-136A93CD0E79}"/>
              </a:ext>
            </a:extLst>
          </xdr:cNvPr>
          <xdr:cNvCxnSpPr/>
        </xdr:nvCxnSpPr>
        <xdr:spPr>
          <a:xfrm>
            <a:off x="1295400" y="29879927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494" name="Straight Arrow Connector 493">
            <a:extLst>
              <a:ext uri="{FF2B5EF4-FFF2-40B4-BE49-F238E27FC236}">
                <a16:creationId xmlns:a16="http://schemas.microsoft.com/office/drawing/2014/main" id="{789AE7F5-9CB8-44F6-A3D2-E6D19E26AAA4}"/>
              </a:ext>
            </a:extLst>
          </xdr:cNvPr>
          <xdr:cNvCxnSpPr/>
        </xdr:nvCxnSpPr>
        <xdr:spPr>
          <a:xfrm flipV="1">
            <a:off x="1624012" y="29722762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Straight Connector 495">
            <a:extLst>
              <a:ext uri="{FF2B5EF4-FFF2-40B4-BE49-F238E27FC236}">
                <a16:creationId xmlns:a16="http://schemas.microsoft.com/office/drawing/2014/main" id="{57911E9A-95F3-2596-5ABE-44D6CD9DC9A5}"/>
              </a:ext>
            </a:extLst>
          </xdr:cNvPr>
          <xdr:cNvCxnSpPr/>
        </xdr:nvCxnSpPr>
        <xdr:spPr>
          <a:xfrm>
            <a:off x="876300" y="29879925"/>
            <a:ext cx="328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E47E82E1-E6E2-3BFB-C6EA-23B733EBF5AD}"/>
              </a:ext>
            </a:extLst>
          </xdr:cNvPr>
          <xdr:cNvCxnSpPr/>
        </xdr:nvCxnSpPr>
        <xdr:spPr>
          <a:xfrm>
            <a:off x="1295399" y="28960763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Connector 499">
            <a:extLst>
              <a:ext uri="{FF2B5EF4-FFF2-40B4-BE49-F238E27FC236}">
                <a16:creationId xmlns:a16="http://schemas.microsoft.com/office/drawing/2014/main" id="{EA286DBF-00AA-0715-0834-5F070C08E942}"/>
              </a:ext>
            </a:extLst>
          </xdr:cNvPr>
          <xdr:cNvCxnSpPr/>
        </xdr:nvCxnSpPr>
        <xdr:spPr>
          <a:xfrm>
            <a:off x="1228724" y="29022675"/>
            <a:ext cx="457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56859D20-4CA7-4D53-85DB-003AE6411521}"/>
              </a:ext>
            </a:extLst>
          </xdr:cNvPr>
          <xdr:cNvCxnSpPr/>
        </xdr:nvCxnSpPr>
        <xdr:spPr>
          <a:xfrm flipH="1">
            <a:off x="1257303" y="289845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BA92B977-922F-46F2-955C-9EA878160C6D}"/>
              </a:ext>
            </a:extLst>
          </xdr:cNvPr>
          <xdr:cNvCxnSpPr/>
        </xdr:nvCxnSpPr>
        <xdr:spPr>
          <a:xfrm>
            <a:off x="1619252" y="28960760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FA6D63BE-24B0-4B53-9897-F0663DC8C513}"/>
              </a:ext>
            </a:extLst>
          </xdr:cNvPr>
          <xdr:cNvCxnSpPr/>
        </xdr:nvCxnSpPr>
        <xdr:spPr>
          <a:xfrm flipH="1">
            <a:off x="1581156" y="2898457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Arrow Connector 505">
            <a:extLst>
              <a:ext uri="{FF2B5EF4-FFF2-40B4-BE49-F238E27FC236}">
                <a16:creationId xmlns:a16="http://schemas.microsoft.com/office/drawing/2014/main" id="{B5C2335D-6BEC-4673-A03A-65CF3A205C7F}"/>
              </a:ext>
            </a:extLst>
          </xdr:cNvPr>
          <xdr:cNvCxnSpPr/>
        </xdr:nvCxnSpPr>
        <xdr:spPr>
          <a:xfrm flipV="1">
            <a:off x="1295399" y="3114198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224</xdr:row>
      <xdr:rowOff>61911</xdr:rowOff>
    </xdr:from>
    <xdr:to>
      <xdr:col>22</xdr:col>
      <xdr:colOff>4762</xdr:colOff>
      <xdr:row>243</xdr:row>
      <xdr:rowOff>66675</xdr:rowOff>
    </xdr:to>
    <xdr:grpSp>
      <xdr:nvGrpSpPr>
        <xdr:cNvPr id="181" name="Group 180">
          <a:extLst>
            <a:ext uri="{FF2B5EF4-FFF2-40B4-BE49-F238E27FC236}">
              <a16:creationId xmlns:a16="http://schemas.microsoft.com/office/drawing/2014/main" id="{8874871F-C0B6-4A34-A4D7-CFD1D8F47B3D}"/>
            </a:ext>
          </a:extLst>
        </xdr:cNvPr>
        <xdr:cNvGrpSpPr/>
      </xdr:nvGrpSpPr>
      <xdr:grpSpPr>
        <a:xfrm>
          <a:off x="400050" y="32513586"/>
          <a:ext cx="3167062" cy="2719389"/>
          <a:chOff x="561975" y="32513586"/>
          <a:chExt cx="3167062" cy="2719389"/>
        </a:xfrm>
      </xdr:grpSpPr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81803671-7D9D-496E-8B9E-DA4249E67366}"/>
              </a:ext>
            </a:extLst>
          </xdr:cNvPr>
          <xdr:cNvSpPr/>
        </xdr:nvSpPr>
        <xdr:spPr>
          <a:xfrm>
            <a:off x="1138238" y="343138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13" name="Freeform: Shape 512">
            <a:extLst>
              <a:ext uri="{FF2B5EF4-FFF2-40B4-BE49-F238E27FC236}">
                <a16:creationId xmlns:a16="http://schemas.microsoft.com/office/drawing/2014/main" id="{ECBA94B4-A0EC-4072-95B5-5C8428B7A17A}"/>
              </a:ext>
            </a:extLst>
          </xdr:cNvPr>
          <xdr:cNvSpPr/>
        </xdr:nvSpPr>
        <xdr:spPr>
          <a:xfrm>
            <a:off x="1295401" y="325945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14" name="Oval 513">
            <a:extLst>
              <a:ext uri="{FF2B5EF4-FFF2-40B4-BE49-F238E27FC236}">
                <a16:creationId xmlns:a16="http://schemas.microsoft.com/office/drawing/2014/main" id="{FD6668FF-E836-4D89-964B-64FCCAF47009}"/>
              </a:ext>
            </a:extLst>
          </xdr:cNvPr>
          <xdr:cNvSpPr/>
        </xdr:nvSpPr>
        <xdr:spPr>
          <a:xfrm>
            <a:off x="1243014" y="341995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15" name="Oval 514">
            <a:extLst>
              <a:ext uri="{FF2B5EF4-FFF2-40B4-BE49-F238E27FC236}">
                <a16:creationId xmlns:a16="http://schemas.microsoft.com/office/drawing/2014/main" id="{356A7C11-1E34-4F14-AA3B-B8C505C68FFD}"/>
              </a:ext>
            </a:extLst>
          </xdr:cNvPr>
          <xdr:cNvSpPr/>
        </xdr:nvSpPr>
        <xdr:spPr>
          <a:xfrm>
            <a:off x="3186114" y="342042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B5C30679-6719-4360-BC3C-2371C3DAD1BF}"/>
              </a:ext>
            </a:extLst>
          </xdr:cNvPr>
          <xdr:cNvCxnSpPr/>
        </xdr:nvCxnSpPr>
        <xdr:spPr>
          <a:xfrm>
            <a:off x="1133475" y="343090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C59AD8BF-3260-4451-9F73-EEE455AC9801}"/>
              </a:ext>
            </a:extLst>
          </xdr:cNvPr>
          <xdr:cNvSpPr/>
        </xdr:nvSpPr>
        <xdr:spPr>
          <a:xfrm>
            <a:off x="3081338" y="343185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FA42902C-0F21-455F-A20D-8509122FFB38}"/>
              </a:ext>
            </a:extLst>
          </xdr:cNvPr>
          <xdr:cNvCxnSpPr/>
        </xdr:nvCxnSpPr>
        <xdr:spPr>
          <a:xfrm>
            <a:off x="3076575" y="343138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EE95A1DA-4730-47A9-9082-EC8497FE1236}"/>
              </a:ext>
            </a:extLst>
          </xdr:cNvPr>
          <xdr:cNvCxnSpPr/>
        </xdr:nvCxnSpPr>
        <xdr:spPr>
          <a:xfrm>
            <a:off x="561975" y="32594550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1F5EB943-2C45-4DC4-8FAF-5944500EB1E6}"/>
              </a:ext>
            </a:extLst>
          </xdr:cNvPr>
          <xdr:cNvCxnSpPr/>
        </xdr:nvCxnSpPr>
        <xdr:spPr>
          <a:xfrm>
            <a:off x="647701" y="3251358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F594B859-5BB4-4FAB-970F-4B8EE6A163E2}"/>
              </a:ext>
            </a:extLst>
          </xdr:cNvPr>
          <xdr:cNvCxnSpPr/>
        </xdr:nvCxnSpPr>
        <xdr:spPr>
          <a:xfrm flipH="1">
            <a:off x="609600" y="325564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Connector 535">
            <a:extLst>
              <a:ext uri="{FF2B5EF4-FFF2-40B4-BE49-F238E27FC236}">
                <a16:creationId xmlns:a16="http://schemas.microsoft.com/office/drawing/2014/main" id="{CCC86C06-B38F-4877-9B23-08A2E75061C0}"/>
              </a:ext>
            </a:extLst>
          </xdr:cNvPr>
          <xdr:cNvCxnSpPr/>
        </xdr:nvCxnSpPr>
        <xdr:spPr>
          <a:xfrm>
            <a:off x="561976" y="34309051"/>
            <a:ext cx="4857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D339C714-24B0-40BD-A6E8-FA0339B1ADDD}"/>
              </a:ext>
            </a:extLst>
          </xdr:cNvPr>
          <xdr:cNvCxnSpPr/>
        </xdr:nvCxnSpPr>
        <xdr:spPr>
          <a:xfrm flipH="1">
            <a:off x="604838" y="342709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Connector 537">
            <a:extLst>
              <a:ext uri="{FF2B5EF4-FFF2-40B4-BE49-F238E27FC236}">
                <a16:creationId xmlns:a16="http://schemas.microsoft.com/office/drawing/2014/main" id="{BE19CDAC-DE4F-4F1E-BFE0-2279E371D29F}"/>
              </a:ext>
            </a:extLst>
          </xdr:cNvPr>
          <xdr:cNvCxnSpPr/>
        </xdr:nvCxnSpPr>
        <xdr:spPr>
          <a:xfrm>
            <a:off x="1295400" y="349329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08B9E64E-C55A-4DD3-8184-DFFC71EC58CD}"/>
              </a:ext>
            </a:extLst>
          </xdr:cNvPr>
          <xdr:cNvCxnSpPr/>
        </xdr:nvCxnSpPr>
        <xdr:spPr>
          <a:xfrm>
            <a:off x="1214439" y="351663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9BF35775-61C7-4DEA-93B5-02EFF63B13B3}"/>
              </a:ext>
            </a:extLst>
          </xdr:cNvPr>
          <xdr:cNvCxnSpPr/>
        </xdr:nvCxnSpPr>
        <xdr:spPr>
          <a:xfrm flipH="1">
            <a:off x="1257302" y="351282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Connector 540">
            <a:extLst>
              <a:ext uri="{FF2B5EF4-FFF2-40B4-BE49-F238E27FC236}">
                <a16:creationId xmlns:a16="http://schemas.microsoft.com/office/drawing/2014/main" id="{A42D1229-D9E4-40D3-B3BA-9C83381DB2D9}"/>
              </a:ext>
            </a:extLst>
          </xdr:cNvPr>
          <xdr:cNvCxnSpPr/>
        </xdr:nvCxnSpPr>
        <xdr:spPr>
          <a:xfrm>
            <a:off x="3238503" y="349472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Connector 541">
            <a:extLst>
              <a:ext uri="{FF2B5EF4-FFF2-40B4-BE49-F238E27FC236}">
                <a16:creationId xmlns:a16="http://schemas.microsoft.com/office/drawing/2014/main" id="{8CDB2DA1-0781-497F-9C29-04FFBB4DC784}"/>
              </a:ext>
            </a:extLst>
          </xdr:cNvPr>
          <xdr:cNvCxnSpPr/>
        </xdr:nvCxnSpPr>
        <xdr:spPr>
          <a:xfrm flipH="1">
            <a:off x="3200405" y="351282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Arrow Connector 542">
            <a:extLst>
              <a:ext uri="{FF2B5EF4-FFF2-40B4-BE49-F238E27FC236}">
                <a16:creationId xmlns:a16="http://schemas.microsoft.com/office/drawing/2014/main" id="{E7AD090E-535A-4FC8-B610-9EC0B2479A8D}"/>
              </a:ext>
            </a:extLst>
          </xdr:cNvPr>
          <xdr:cNvCxnSpPr/>
        </xdr:nvCxnSpPr>
        <xdr:spPr>
          <a:xfrm flipV="1">
            <a:off x="1295400" y="3443286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6AFD35A3-E4FD-4915-9362-984B7AC53E2A}"/>
              </a:ext>
            </a:extLst>
          </xdr:cNvPr>
          <xdr:cNvCxnSpPr/>
        </xdr:nvCxnSpPr>
        <xdr:spPr>
          <a:xfrm flipV="1">
            <a:off x="3238500" y="344328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28542E62-4067-4795-A375-CC512F2123FC}"/>
              </a:ext>
            </a:extLst>
          </xdr:cNvPr>
          <xdr:cNvCxnSpPr/>
        </xdr:nvCxnSpPr>
        <xdr:spPr>
          <a:xfrm>
            <a:off x="1481136" y="34309046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Arrow Connector 545">
            <a:extLst>
              <a:ext uri="{FF2B5EF4-FFF2-40B4-BE49-F238E27FC236}">
                <a16:creationId xmlns:a16="http://schemas.microsoft.com/office/drawing/2014/main" id="{1296D187-6A44-4881-8A18-44491CFD5B75}"/>
              </a:ext>
            </a:extLst>
          </xdr:cNvPr>
          <xdr:cNvCxnSpPr/>
        </xdr:nvCxnSpPr>
        <xdr:spPr>
          <a:xfrm flipH="1">
            <a:off x="3419474" y="343090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Arrow Connector 556">
            <a:extLst>
              <a:ext uri="{FF2B5EF4-FFF2-40B4-BE49-F238E27FC236}">
                <a16:creationId xmlns:a16="http://schemas.microsoft.com/office/drawing/2014/main" id="{4F19083E-66B3-48BB-A978-06FEE0B6DA21}"/>
              </a:ext>
            </a:extLst>
          </xdr:cNvPr>
          <xdr:cNvCxnSpPr/>
        </xdr:nvCxnSpPr>
        <xdr:spPr>
          <a:xfrm>
            <a:off x="966788" y="32594550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161922</xdr:colOff>
      <xdr:row>222</xdr:row>
      <xdr:rowOff>0</xdr:rowOff>
    </xdr:from>
    <xdr:to>
      <xdr:col>41</xdr:col>
      <xdr:colOff>157163</xdr:colOff>
      <xdr:row>237</xdr:row>
      <xdr:rowOff>4763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0497376D-6597-00B1-6BEF-0CCD1FE47D31}"/>
            </a:ext>
          </a:extLst>
        </xdr:cNvPr>
        <xdr:cNvGrpSpPr/>
      </xdr:nvGrpSpPr>
      <xdr:grpSpPr>
        <a:xfrm>
          <a:off x="4371972" y="32165925"/>
          <a:ext cx="2424116" cy="2147888"/>
          <a:chOff x="4533897" y="32165925"/>
          <a:chExt cx="2424116" cy="2147888"/>
        </a:xfrm>
      </xdr:grpSpPr>
      <xdr:sp macro="" textlink="">
        <xdr:nvSpPr>
          <xdr:cNvPr id="547" name="Freeform: Shape 546">
            <a:extLst>
              <a:ext uri="{FF2B5EF4-FFF2-40B4-BE49-F238E27FC236}">
                <a16:creationId xmlns:a16="http://schemas.microsoft.com/office/drawing/2014/main" id="{1FB11352-E052-41AD-BD1C-E4DDE2912A73}"/>
              </a:ext>
            </a:extLst>
          </xdr:cNvPr>
          <xdr:cNvSpPr/>
        </xdr:nvSpPr>
        <xdr:spPr>
          <a:xfrm>
            <a:off x="4533897" y="325945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52" name="Freeform: Shape 551">
            <a:extLst>
              <a:ext uri="{FF2B5EF4-FFF2-40B4-BE49-F238E27FC236}">
                <a16:creationId xmlns:a16="http://schemas.microsoft.com/office/drawing/2014/main" id="{53339B04-CA44-4A5D-9C52-92CF674F9C75}"/>
              </a:ext>
            </a:extLst>
          </xdr:cNvPr>
          <xdr:cNvSpPr/>
        </xdr:nvSpPr>
        <xdr:spPr>
          <a:xfrm>
            <a:off x="6472238" y="32594550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5F73207A-B25C-4EA3-A79A-336F4D372654}"/>
              </a:ext>
            </a:extLst>
          </xdr:cNvPr>
          <xdr:cNvCxnSpPr/>
        </xdr:nvCxnSpPr>
        <xdr:spPr>
          <a:xfrm flipV="1">
            <a:off x="4533900" y="32594552"/>
            <a:ext cx="496053" cy="17145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0" name="Freeform: Shape 559">
            <a:extLst>
              <a:ext uri="{FF2B5EF4-FFF2-40B4-BE49-F238E27FC236}">
                <a16:creationId xmlns:a16="http://schemas.microsoft.com/office/drawing/2014/main" id="{21008F91-ECCD-736E-2DBD-FBD74CD29158}"/>
              </a:ext>
            </a:extLst>
          </xdr:cNvPr>
          <xdr:cNvSpPr/>
        </xdr:nvSpPr>
        <xdr:spPr>
          <a:xfrm>
            <a:off x="4538663" y="32165925"/>
            <a:ext cx="1938337" cy="862013"/>
          </a:xfrm>
          <a:custGeom>
            <a:avLst/>
            <a:gdLst>
              <a:gd name="connsiteX0" fmla="*/ 0 w 1938337"/>
              <a:gd name="connsiteY0" fmla="*/ 862013 h 862013"/>
              <a:gd name="connsiteX1" fmla="*/ 1938337 w 1938337"/>
              <a:gd name="connsiteY1" fmla="*/ 0 h 862013"/>
              <a:gd name="connsiteX2" fmla="*/ 1938337 w 1938337"/>
              <a:gd name="connsiteY2" fmla="*/ 442913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862013">
                <a:moveTo>
                  <a:pt x="0" y="862013"/>
                </a:moveTo>
                <a:lnTo>
                  <a:pt x="1938337" y="0"/>
                </a:lnTo>
                <a:lnTo>
                  <a:pt x="1938337" y="4429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76200</xdr:colOff>
      <xdr:row>247</xdr:row>
      <xdr:rowOff>61911</xdr:rowOff>
    </xdr:from>
    <xdr:to>
      <xdr:col>22</xdr:col>
      <xdr:colOff>4762</xdr:colOff>
      <xdr:row>266</xdr:row>
      <xdr:rowOff>66675</xdr:rowOff>
    </xdr:to>
    <xdr:grpSp>
      <xdr:nvGrpSpPr>
        <xdr:cNvPr id="183" name="Group 182">
          <a:extLst>
            <a:ext uri="{FF2B5EF4-FFF2-40B4-BE49-F238E27FC236}">
              <a16:creationId xmlns:a16="http://schemas.microsoft.com/office/drawing/2014/main" id="{134874D6-FE84-DB07-F0FB-08133B42F5DF}"/>
            </a:ext>
          </a:extLst>
        </xdr:cNvPr>
        <xdr:cNvGrpSpPr/>
      </xdr:nvGrpSpPr>
      <xdr:grpSpPr>
        <a:xfrm>
          <a:off x="400050" y="35799711"/>
          <a:ext cx="3167062" cy="2719389"/>
          <a:chOff x="561975" y="35799711"/>
          <a:chExt cx="3167062" cy="2719389"/>
        </a:xfrm>
      </xdr:grpSpPr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3A631CFA-85B5-4780-A19C-AE757EE36CFB}"/>
              </a:ext>
            </a:extLst>
          </xdr:cNvPr>
          <xdr:cNvSpPr/>
        </xdr:nvSpPr>
        <xdr:spPr>
          <a:xfrm>
            <a:off x="1138238" y="375999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3" name="Freeform: Shape 562">
            <a:extLst>
              <a:ext uri="{FF2B5EF4-FFF2-40B4-BE49-F238E27FC236}">
                <a16:creationId xmlns:a16="http://schemas.microsoft.com/office/drawing/2014/main" id="{F11B6DF3-FE9A-4138-A0F2-16320EFDE105}"/>
              </a:ext>
            </a:extLst>
          </xdr:cNvPr>
          <xdr:cNvSpPr/>
        </xdr:nvSpPr>
        <xdr:spPr>
          <a:xfrm>
            <a:off x="1295401" y="358806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4" name="Oval 563">
            <a:extLst>
              <a:ext uri="{FF2B5EF4-FFF2-40B4-BE49-F238E27FC236}">
                <a16:creationId xmlns:a16="http://schemas.microsoft.com/office/drawing/2014/main" id="{BE526801-66DD-4F8C-AD31-392D0F1C902A}"/>
              </a:ext>
            </a:extLst>
          </xdr:cNvPr>
          <xdr:cNvSpPr/>
        </xdr:nvSpPr>
        <xdr:spPr>
          <a:xfrm>
            <a:off x="1243014" y="374856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5" name="Oval 564">
            <a:extLst>
              <a:ext uri="{FF2B5EF4-FFF2-40B4-BE49-F238E27FC236}">
                <a16:creationId xmlns:a16="http://schemas.microsoft.com/office/drawing/2014/main" id="{0CF1BA4F-5960-45AA-B78B-B5B61822E80F}"/>
              </a:ext>
            </a:extLst>
          </xdr:cNvPr>
          <xdr:cNvSpPr/>
        </xdr:nvSpPr>
        <xdr:spPr>
          <a:xfrm>
            <a:off x="3186114" y="3749039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66" name="Straight Connector 565">
            <a:extLst>
              <a:ext uri="{FF2B5EF4-FFF2-40B4-BE49-F238E27FC236}">
                <a16:creationId xmlns:a16="http://schemas.microsoft.com/office/drawing/2014/main" id="{C6C7FE9D-06A8-4B14-806F-3D33DEF754AE}"/>
              </a:ext>
            </a:extLst>
          </xdr:cNvPr>
          <xdr:cNvCxnSpPr/>
        </xdr:nvCxnSpPr>
        <xdr:spPr>
          <a:xfrm>
            <a:off x="1133475" y="375951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42370DD0-BE79-45B9-8DD1-CAFB576DFCD8}"/>
              </a:ext>
            </a:extLst>
          </xdr:cNvPr>
          <xdr:cNvSpPr/>
        </xdr:nvSpPr>
        <xdr:spPr>
          <a:xfrm>
            <a:off x="3081338" y="376046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4CEEFA8F-9207-415A-A7DE-4217B97EA1A2}"/>
              </a:ext>
            </a:extLst>
          </xdr:cNvPr>
          <xdr:cNvCxnSpPr/>
        </xdr:nvCxnSpPr>
        <xdr:spPr>
          <a:xfrm>
            <a:off x="3076575" y="375999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CC58CBB3-3584-486E-9E52-9751B79E2E08}"/>
              </a:ext>
            </a:extLst>
          </xdr:cNvPr>
          <xdr:cNvCxnSpPr/>
        </xdr:nvCxnSpPr>
        <xdr:spPr>
          <a:xfrm>
            <a:off x="561975" y="3588067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2B699BE2-84C0-42C9-B483-5ABCFC925FC9}"/>
              </a:ext>
            </a:extLst>
          </xdr:cNvPr>
          <xdr:cNvCxnSpPr/>
        </xdr:nvCxnSpPr>
        <xdr:spPr>
          <a:xfrm>
            <a:off x="647701" y="357997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4434CF9E-2927-45F2-9B26-998611219E2D}"/>
              </a:ext>
            </a:extLst>
          </xdr:cNvPr>
          <xdr:cNvCxnSpPr/>
        </xdr:nvCxnSpPr>
        <xdr:spPr>
          <a:xfrm flipH="1">
            <a:off x="609600" y="358425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201E97D1-C839-40DE-BAD4-C45B8ECB184F}"/>
              </a:ext>
            </a:extLst>
          </xdr:cNvPr>
          <xdr:cNvCxnSpPr/>
        </xdr:nvCxnSpPr>
        <xdr:spPr>
          <a:xfrm>
            <a:off x="561976" y="37595176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6E9F9BC1-99A5-4C09-9364-3EF379D4FD76}"/>
              </a:ext>
            </a:extLst>
          </xdr:cNvPr>
          <xdr:cNvCxnSpPr/>
        </xdr:nvCxnSpPr>
        <xdr:spPr>
          <a:xfrm flipH="1">
            <a:off x="604838" y="375570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Connector 573">
            <a:extLst>
              <a:ext uri="{FF2B5EF4-FFF2-40B4-BE49-F238E27FC236}">
                <a16:creationId xmlns:a16="http://schemas.microsoft.com/office/drawing/2014/main" id="{8466BAC3-5D39-40F0-A6CC-9A9AD83DA7AB}"/>
              </a:ext>
            </a:extLst>
          </xdr:cNvPr>
          <xdr:cNvCxnSpPr/>
        </xdr:nvCxnSpPr>
        <xdr:spPr>
          <a:xfrm>
            <a:off x="1295400" y="382190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3E6A1E89-40FA-48E9-A171-C69E853A5EB4}"/>
              </a:ext>
            </a:extLst>
          </xdr:cNvPr>
          <xdr:cNvCxnSpPr/>
        </xdr:nvCxnSpPr>
        <xdr:spPr>
          <a:xfrm>
            <a:off x="1214439" y="384524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Connector 575">
            <a:extLst>
              <a:ext uri="{FF2B5EF4-FFF2-40B4-BE49-F238E27FC236}">
                <a16:creationId xmlns:a16="http://schemas.microsoft.com/office/drawing/2014/main" id="{E59B6181-BCC4-44D7-8E18-B9194734DF91}"/>
              </a:ext>
            </a:extLst>
          </xdr:cNvPr>
          <xdr:cNvCxnSpPr/>
        </xdr:nvCxnSpPr>
        <xdr:spPr>
          <a:xfrm flipH="1">
            <a:off x="1257302" y="384143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04C4CC39-B0C3-409F-8952-57D21206A4D7}"/>
              </a:ext>
            </a:extLst>
          </xdr:cNvPr>
          <xdr:cNvCxnSpPr/>
        </xdr:nvCxnSpPr>
        <xdr:spPr>
          <a:xfrm>
            <a:off x="3238503" y="382333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554BB17F-0673-49C5-859B-F28D58D85DD1}"/>
              </a:ext>
            </a:extLst>
          </xdr:cNvPr>
          <xdr:cNvCxnSpPr/>
        </xdr:nvCxnSpPr>
        <xdr:spPr>
          <a:xfrm flipH="1">
            <a:off x="3200405" y="384143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Arrow Connector 578">
            <a:extLst>
              <a:ext uri="{FF2B5EF4-FFF2-40B4-BE49-F238E27FC236}">
                <a16:creationId xmlns:a16="http://schemas.microsoft.com/office/drawing/2014/main" id="{CB519151-303F-4422-A17D-1FDD8F979497}"/>
              </a:ext>
            </a:extLst>
          </xdr:cNvPr>
          <xdr:cNvCxnSpPr/>
        </xdr:nvCxnSpPr>
        <xdr:spPr>
          <a:xfrm flipV="1">
            <a:off x="1295400" y="377189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Arrow Connector 579">
            <a:extLst>
              <a:ext uri="{FF2B5EF4-FFF2-40B4-BE49-F238E27FC236}">
                <a16:creationId xmlns:a16="http://schemas.microsoft.com/office/drawing/2014/main" id="{FDD1EFF6-32B8-420D-B27E-E00AAA1C0636}"/>
              </a:ext>
            </a:extLst>
          </xdr:cNvPr>
          <xdr:cNvCxnSpPr/>
        </xdr:nvCxnSpPr>
        <xdr:spPr>
          <a:xfrm flipV="1">
            <a:off x="3238500" y="377189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Arrow Connector 580">
            <a:extLst>
              <a:ext uri="{FF2B5EF4-FFF2-40B4-BE49-F238E27FC236}">
                <a16:creationId xmlns:a16="http://schemas.microsoft.com/office/drawing/2014/main" id="{8E3B8CF0-58E2-4A13-A522-467856C9ED20}"/>
              </a:ext>
            </a:extLst>
          </xdr:cNvPr>
          <xdr:cNvCxnSpPr/>
        </xdr:nvCxnSpPr>
        <xdr:spPr>
          <a:xfrm>
            <a:off x="1481136" y="37595171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Arrow Connector 581">
            <a:extLst>
              <a:ext uri="{FF2B5EF4-FFF2-40B4-BE49-F238E27FC236}">
                <a16:creationId xmlns:a16="http://schemas.microsoft.com/office/drawing/2014/main" id="{D18D5677-C539-4DA0-A1B5-936115C67160}"/>
              </a:ext>
            </a:extLst>
          </xdr:cNvPr>
          <xdr:cNvCxnSpPr/>
        </xdr:nvCxnSpPr>
        <xdr:spPr>
          <a:xfrm flipH="1">
            <a:off x="3419474" y="375951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FEDEBFA6-6992-B833-AC91-7F0C1CC64364}"/>
              </a:ext>
            </a:extLst>
          </xdr:cNvPr>
          <xdr:cNvCxnSpPr/>
        </xdr:nvCxnSpPr>
        <xdr:spPr>
          <a:xfrm>
            <a:off x="1185860" y="358711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Connector 590">
            <a:extLst>
              <a:ext uri="{FF2B5EF4-FFF2-40B4-BE49-F238E27FC236}">
                <a16:creationId xmlns:a16="http://schemas.microsoft.com/office/drawing/2014/main" id="{3E2E7C7C-E50D-7C46-9873-5EDAA41FDE60}"/>
              </a:ext>
            </a:extLst>
          </xdr:cNvPr>
          <xdr:cNvCxnSpPr/>
        </xdr:nvCxnSpPr>
        <xdr:spPr>
          <a:xfrm flipH="1">
            <a:off x="852488" y="35880675"/>
            <a:ext cx="333375" cy="1714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Arrow Connector 593">
            <a:extLst>
              <a:ext uri="{FF2B5EF4-FFF2-40B4-BE49-F238E27FC236}">
                <a16:creationId xmlns:a16="http://schemas.microsoft.com/office/drawing/2014/main" id="{3C61AB93-D5E3-5318-01C2-CD94BB3CCD98}"/>
              </a:ext>
            </a:extLst>
          </xdr:cNvPr>
          <xdr:cNvCxnSpPr/>
        </xdr:nvCxnSpPr>
        <xdr:spPr>
          <a:xfrm>
            <a:off x="847723" y="37595175"/>
            <a:ext cx="34290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Arrow Connector 595">
            <a:extLst>
              <a:ext uri="{FF2B5EF4-FFF2-40B4-BE49-F238E27FC236}">
                <a16:creationId xmlns:a16="http://schemas.microsoft.com/office/drawing/2014/main" id="{4A2EBA30-FD2F-4AC5-B3C5-22A15DF00C7D}"/>
              </a:ext>
            </a:extLst>
          </xdr:cNvPr>
          <xdr:cNvCxnSpPr/>
        </xdr:nvCxnSpPr>
        <xdr:spPr>
          <a:xfrm>
            <a:off x="876300" y="37452299"/>
            <a:ext cx="30480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Arrow Connector 596">
            <a:extLst>
              <a:ext uri="{FF2B5EF4-FFF2-40B4-BE49-F238E27FC236}">
                <a16:creationId xmlns:a16="http://schemas.microsoft.com/office/drawing/2014/main" id="{7D17F4B1-C98B-480E-9E91-F0C37951B22A}"/>
              </a:ext>
            </a:extLst>
          </xdr:cNvPr>
          <xdr:cNvCxnSpPr/>
        </xdr:nvCxnSpPr>
        <xdr:spPr>
          <a:xfrm>
            <a:off x="904875" y="37309424"/>
            <a:ext cx="27622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Arrow Connector 597">
            <a:extLst>
              <a:ext uri="{FF2B5EF4-FFF2-40B4-BE49-F238E27FC236}">
                <a16:creationId xmlns:a16="http://schemas.microsoft.com/office/drawing/2014/main" id="{72D24AD8-74FD-43BE-8E0A-DCF1AC5D18F9}"/>
              </a:ext>
            </a:extLst>
          </xdr:cNvPr>
          <xdr:cNvCxnSpPr/>
        </xdr:nvCxnSpPr>
        <xdr:spPr>
          <a:xfrm>
            <a:off x="938213" y="37166549"/>
            <a:ext cx="24288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Arrow Connector 598">
            <a:extLst>
              <a:ext uri="{FF2B5EF4-FFF2-40B4-BE49-F238E27FC236}">
                <a16:creationId xmlns:a16="http://schemas.microsoft.com/office/drawing/2014/main" id="{9632B389-CAEC-4788-890A-16374942A8F7}"/>
              </a:ext>
            </a:extLst>
          </xdr:cNvPr>
          <xdr:cNvCxnSpPr/>
        </xdr:nvCxnSpPr>
        <xdr:spPr>
          <a:xfrm>
            <a:off x="966788" y="37023674"/>
            <a:ext cx="21431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Arrow Connector 599">
            <a:extLst>
              <a:ext uri="{FF2B5EF4-FFF2-40B4-BE49-F238E27FC236}">
                <a16:creationId xmlns:a16="http://schemas.microsoft.com/office/drawing/2014/main" id="{0DC8917D-DF1C-4E2F-88E7-8B27B58D4A49}"/>
              </a:ext>
            </a:extLst>
          </xdr:cNvPr>
          <xdr:cNvCxnSpPr/>
        </xdr:nvCxnSpPr>
        <xdr:spPr>
          <a:xfrm>
            <a:off x="995363" y="36880798"/>
            <a:ext cx="18573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Arrow Connector 600">
            <a:extLst>
              <a:ext uri="{FF2B5EF4-FFF2-40B4-BE49-F238E27FC236}">
                <a16:creationId xmlns:a16="http://schemas.microsoft.com/office/drawing/2014/main" id="{881A4C38-E8EB-4D12-B011-C3B3DDFCCDD7}"/>
              </a:ext>
            </a:extLst>
          </xdr:cNvPr>
          <xdr:cNvCxnSpPr/>
        </xdr:nvCxnSpPr>
        <xdr:spPr>
          <a:xfrm>
            <a:off x="1019175" y="36737923"/>
            <a:ext cx="16192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Arrow Connector 601">
            <a:extLst>
              <a:ext uri="{FF2B5EF4-FFF2-40B4-BE49-F238E27FC236}">
                <a16:creationId xmlns:a16="http://schemas.microsoft.com/office/drawing/2014/main" id="{732E6B35-4729-461D-A724-6FE6E2DC6541}"/>
              </a:ext>
            </a:extLst>
          </xdr:cNvPr>
          <xdr:cNvCxnSpPr/>
        </xdr:nvCxnSpPr>
        <xdr:spPr>
          <a:xfrm>
            <a:off x="1042988" y="36595048"/>
            <a:ext cx="13811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Arrow Connector 602">
            <a:extLst>
              <a:ext uri="{FF2B5EF4-FFF2-40B4-BE49-F238E27FC236}">
                <a16:creationId xmlns:a16="http://schemas.microsoft.com/office/drawing/2014/main" id="{F57E310E-CB50-46E4-B1A0-13DDB506FF56}"/>
              </a:ext>
            </a:extLst>
          </xdr:cNvPr>
          <xdr:cNvCxnSpPr/>
        </xdr:nvCxnSpPr>
        <xdr:spPr>
          <a:xfrm>
            <a:off x="1076325" y="36452173"/>
            <a:ext cx="10477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Arrow Connector 603">
            <a:extLst>
              <a:ext uri="{FF2B5EF4-FFF2-40B4-BE49-F238E27FC236}">
                <a16:creationId xmlns:a16="http://schemas.microsoft.com/office/drawing/2014/main" id="{62C968BD-D1EE-4CA1-BDE7-B7235AFF78B7}"/>
              </a:ext>
            </a:extLst>
          </xdr:cNvPr>
          <xdr:cNvCxnSpPr/>
        </xdr:nvCxnSpPr>
        <xdr:spPr>
          <a:xfrm>
            <a:off x="1104900" y="36309300"/>
            <a:ext cx="8096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Arrow Connector 604">
            <a:extLst>
              <a:ext uri="{FF2B5EF4-FFF2-40B4-BE49-F238E27FC236}">
                <a16:creationId xmlns:a16="http://schemas.microsoft.com/office/drawing/2014/main" id="{B630E0D5-6C7B-4EB7-895E-4A7ABA25A69E}"/>
              </a:ext>
            </a:extLst>
          </xdr:cNvPr>
          <xdr:cNvCxnSpPr/>
        </xdr:nvCxnSpPr>
        <xdr:spPr>
          <a:xfrm>
            <a:off x="1119188" y="36166425"/>
            <a:ext cx="6667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4763</xdr:colOff>
      <xdr:row>270</xdr:row>
      <xdr:rowOff>138113</xdr:rowOff>
    </xdr:from>
    <xdr:to>
      <xdr:col>41</xdr:col>
      <xdr:colOff>157163</xdr:colOff>
      <xdr:row>286</xdr:row>
      <xdr:rowOff>66675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BFD7BD82-6C1E-D08B-4D6C-B0E8F3426B38}"/>
            </a:ext>
          </a:extLst>
        </xdr:cNvPr>
        <xdr:cNvGrpSpPr/>
      </xdr:nvGrpSpPr>
      <xdr:grpSpPr>
        <a:xfrm>
          <a:off x="3890963" y="39600188"/>
          <a:ext cx="2905125" cy="2214562"/>
          <a:chOff x="4052888" y="39600188"/>
          <a:chExt cx="2905125" cy="2214562"/>
        </a:xfrm>
      </xdr:grpSpPr>
      <xdr:sp macro="" textlink="">
        <xdr:nvSpPr>
          <xdr:cNvPr id="654" name="Freeform: Shape 653">
            <a:extLst>
              <a:ext uri="{FF2B5EF4-FFF2-40B4-BE49-F238E27FC236}">
                <a16:creationId xmlns:a16="http://schemas.microsoft.com/office/drawing/2014/main" id="{13A8A1F4-FC19-4D29-B2F7-2392757837A6}"/>
              </a:ext>
            </a:extLst>
          </xdr:cNvPr>
          <xdr:cNvSpPr/>
        </xdr:nvSpPr>
        <xdr:spPr>
          <a:xfrm>
            <a:off x="4533897" y="40033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9798FB34-BDCE-4C32-B95F-40150390EC26}"/>
              </a:ext>
            </a:extLst>
          </xdr:cNvPr>
          <xdr:cNvCxnSpPr/>
        </xdr:nvCxnSpPr>
        <xdr:spPr>
          <a:xfrm flipV="1">
            <a:off x="4533901" y="39600188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466D5431-2979-4915-B8AE-EF6337EAD7BC}"/>
              </a:ext>
            </a:extLst>
          </xdr:cNvPr>
          <xdr:cNvCxnSpPr/>
        </xdr:nvCxnSpPr>
        <xdr:spPr>
          <a:xfrm flipV="1">
            <a:off x="6477001" y="39614475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57" name="Freeform: Shape 656">
            <a:extLst>
              <a:ext uri="{FF2B5EF4-FFF2-40B4-BE49-F238E27FC236}">
                <a16:creationId xmlns:a16="http://schemas.microsoft.com/office/drawing/2014/main" id="{BAE50A13-A8BE-47E4-B623-A7EA6CB657A0}"/>
              </a:ext>
            </a:extLst>
          </xdr:cNvPr>
          <xdr:cNvSpPr/>
        </xdr:nvSpPr>
        <xdr:spPr>
          <a:xfrm>
            <a:off x="4533900" y="39604950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F094390D-F9A1-4881-B4A0-5A38302FDABE}"/>
              </a:ext>
            </a:extLst>
          </xdr:cNvPr>
          <xdr:cNvCxnSpPr/>
        </xdr:nvCxnSpPr>
        <xdr:spPr>
          <a:xfrm flipV="1">
            <a:off x="5505450" y="40038338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1" name="Freeform: Shape 660">
            <a:extLst>
              <a:ext uri="{FF2B5EF4-FFF2-40B4-BE49-F238E27FC236}">
                <a16:creationId xmlns:a16="http://schemas.microsoft.com/office/drawing/2014/main" id="{39201C44-3377-9A46-8E10-5A89FDF112F0}"/>
              </a:ext>
            </a:extLst>
          </xdr:cNvPr>
          <xdr:cNvSpPr/>
        </xdr:nvSpPr>
        <xdr:spPr>
          <a:xfrm>
            <a:off x="4052888" y="40033575"/>
            <a:ext cx="814387" cy="1719263"/>
          </a:xfrm>
          <a:custGeom>
            <a:avLst/>
            <a:gdLst>
              <a:gd name="connsiteX0" fmla="*/ 481012 w 814387"/>
              <a:gd name="connsiteY0" fmla="*/ 0 h 1719263"/>
              <a:gd name="connsiteX1" fmla="*/ 0 w 814387"/>
              <a:gd name="connsiteY1" fmla="*/ 0 h 1719263"/>
              <a:gd name="connsiteX2" fmla="*/ 814387 w 814387"/>
              <a:gd name="connsiteY2" fmla="*/ 1719263 h 1719263"/>
              <a:gd name="connsiteX3" fmla="*/ 481012 w 814387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387" h="1719263">
                <a:moveTo>
                  <a:pt x="481012" y="0"/>
                </a:moveTo>
                <a:lnTo>
                  <a:pt x="0" y="0"/>
                </a:lnTo>
                <a:lnTo>
                  <a:pt x="814387" y="1719263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62" name="Freeform: Shape 661">
            <a:extLst>
              <a:ext uri="{FF2B5EF4-FFF2-40B4-BE49-F238E27FC236}">
                <a16:creationId xmlns:a16="http://schemas.microsoft.com/office/drawing/2014/main" id="{819FC509-9ADF-32DF-CB0F-701623B1D903}"/>
              </a:ext>
            </a:extLst>
          </xdr:cNvPr>
          <xdr:cNvSpPr/>
        </xdr:nvSpPr>
        <xdr:spPr>
          <a:xfrm>
            <a:off x="6148388" y="40033576"/>
            <a:ext cx="809625" cy="1709738"/>
          </a:xfrm>
          <a:custGeom>
            <a:avLst/>
            <a:gdLst>
              <a:gd name="connsiteX0" fmla="*/ 319087 w 809625"/>
              <a:gd name="connsiteY0" fmla="*/ 0 h 1704975"/>
              <a:gd name="connsiteX1" fmla="*/ 809625 w 809625"/>
              <a:gd name="connsiteY1" fmla="*/ 0 h 1704975"/>
              <a:gd name="connsiteX2" fmla="*/ 0 w 809625"/>
              <a:gd name="connsiteY2" fmla="*/ 1704975 h 1704975"/>
              <a:gd name="connsiteX3" fmla="*/ 323850 w 80962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09625" h="1704975">
                <a:moveTo>
                  <a:pt x="319087" y="0"/>
                </a:moveTo>
                <a:lnTo>
                  <a:pt x="809625" y="0"/>
                </a:lnTo>
                <a:lnTo>
                  <a:pt x="0" y="1704975"/>
                </a:lnTo>
                <a:lnTo>
                  <a:pt x="32385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id="{EEFDEA83-B73E-DD2F-66FB-3A406C89A0D3}"/>
              </a:ext>
            </a:extLst>
          </xdr:cNvPr>
          <xdr:cNvCxnSpPr/>
        </xdr:nvCxnSpPr>
        <xdr:spPr>
          <a:xfrm>
            <a:off x="4600575" y="41028938"/>
            <a:ext cx="800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id="{50452ED1-D4B3-283E-5321-6AF797DE6DE0}"/>
              </a:ext>
            </a:extLst>
          </xdr:cNvPr>
          <xdr:cNvCxnSpPr/>
        </xdr:nvCxnSpPr>
        <xdr:spPr>
          <a:xfrm>
            <a:off x="5343525" y="40962263"/>
            <a:ext cx="0" cy="852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Straight Connector 667">
            <a:extLst>
              <a:ext uri="{FF2B5EF4-FFF2-40B4-BE49-F238E27FC236}">
                <a16:creationId xmlns:a16="http://schemas.microsoft.com/office/drawing/2014/main" id="{D62B4FD3-3C03-D3F2-D366-3D819A7B97A6}"/>
              </a:ext>
            </a:extLst>
          </xdr:cNvPr>
          <xdr:cNvCxnSpPr/>
        </xdr:nvCxnSpPr>
        <xdr:spPr>
          <a:xfrm flipH="1">
            <a:off x="5305423" y="40990835"/>
            <a:ext cx="76202" cy="762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Straight Connector 669">
            <a:extLst>
              <a:ext uri="{FF2B5EF4-FFF2-40B4-BE49-F238E27FC236}">
                <a16:creationId xmlns:a16="http://schemas.microsoft.com/office/drawing/2014/main" id="{FCFC7DF8-B47A-4AC0-B34A-A28B769B9A10}"/>
              </a:ext>
            </a:extLst>
          </xdr:cNvPr>
          <xdr:cNvCxnSpPr/>
        </xdr:nvCxnSpPr>
        <xdr:spPr>
          <a:xfrm>
            <a:off x="4933950" y="41748077"/>
            <a:ext cx="461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id="{447DD8FB-37D7-40BA-8F42-84CD142B837F}"/>
              </a:ext>
            </a:extLst>
          </xdr:cNvPr>
          <xdr:cNvCxnSpPr/>
        </xdr:nvCxnSpPr>
        <xdr:spPr>
          <a:xfrm flipH="1">
            <a:off x="5305423" y="41709974"/>
            <a:ext cx="76202" cy="762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</xdr:colOff>
      <xdr:row>294</xdr:row>
      <xdr:rowOff>138113</xdr:rowOff>
    </xdr:from>
    <xdr:to>
      <xdr:col>42</xdr:col>
      <xdr:colOff>0</xdr:colOff>
      <xdr:row>310</xdr:row>
      <xdr:rowOff>66675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1682DA68-AA0E-4FF9-31AA-E06DBD7121C8}"/>
            </a:ext>
          </a:extLst>
        </xdr:cNvPr>
        <xdr:cNvGrpSpPr/>
      </xdr:nvGrpSpPr>
      <xdr:grpSpPr>
        <a:xfrm>
          <a:off x="3895725" y="43029188"/>
          <a:ext cx="2905125" cy="2214562"/>
          <a:chOff x="4057650" y="43029188"/>
          <a:chExt cx="2905125" cy="2214562"/>
        </a:xfrm>
      </xdr:grpSpPr>
      <xdr:sp macro="" textlink="">
        <xdr:nvSpPr>
          <xdr:cNvPr id="703" name="Freeform: Shape 702">
            <a:extLst>
              <a:ext uri="{FF2B5EF4-FFF2-40B4-BE49-F238E27FC236}">
                <a16:creationId xmlns:a16="http://schemas.microsoft.com/office/drawing/2014/main" id="{3781B007-D98A-436B-878A-A034931FC5AA}"/>
              </a:ext>
            </a:extLst>
          </xdr:cNvPr>
          <xdr:cNvSpPr/>
        </xdr:nvSpPr>
        <xdr:spPr>
          <a:xfrm>
            <a:off x="4533897" y="43462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037FDACA-AADB-4284-9067-3A136E3A2FCF}"/>
              </a:ext>
            </a:extLst>
          </xdr:cNvPr>
          <xdr:cNvCxnSpPr/>
        </xdr:nvCxnSpPr>
        <xdr:spPr>
          <a:xfrm flipV="1">
            <a:off x="4533901" y="43029188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D54B5E60-21A7-4335-B475-3886B1886FA0}"/>
              </a:ext>
            </a:extLst>
          </xdr:cNvPr>
          <xdr:cNvCxnSpPr/>
        </xdr:nvCxnSpPr>
        <xdr:spPr>
          <a:xfrm flipV="1">
            <a:off x="6477001" y="43043475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6" name="Freeform: Shape 705">
            <a:extLst>
              <a:ext uri="{FF2B5EF4-FFF2-40B4-BE49-F238E27FC236}">
                <a16:creationId xmlns:a16="http://schemas.microsoft.com/office/drawing/2014/main" id="{9C5A1966-F238-4762-9130-18FA7D3005A3}"/>
              </a:ext>
            </a:extLst>
          </xdr:cNvPr>
          <xdr:cNvSpPr/>
        </xdr:nvSpPr>
        <xdr:spPr>
          <a:xfrm>
            <a:off x="4533900" y="43033950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3AADA6DC-703C-47B4-BAAA-1F3ABB438DE1}"/>
              </a:ext>
            </a:extLst>
          </xdr:cNvPr>
          <xdr:cNvCxnSpPr/>
        </xdr:nvCxnSpPr>
        <xdr:spPr>
          <a:xfrm flipV="1">
            <a:off x="5505450" y="43467338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7" name="Freeform: Shape 716">
            <a:extLst>
              <a:ext uri="{FF2B5EF4-FFF2-40B4-BE49-F238E27FC236}">
                <a16:creationId xmlns:a16="http://schemas.microsoft.com/office/drawing/2014/main" id="{B48BF3B6-21B7-4D25-9168-5A2580EC14F9}"/>
              </a:ext>
            </a:extLst>
          </xdr:cNvPr>
          <xdr:cNvSpPr/>
        </xdr:nvSpPr>
        <xdr:spPr>
          <a:xfrm>
            <a:off x="4057650" y="43462576"/>
            <a:ext cx="814387" cy="1719263"/>
          </a:xfrm>
          <a:custGeom>
            <a:avLst/>
            <a:gdLst>
              <a:gd name="connsiteX0" fmla="*/ 481012 w 814387"/>
              <a:gd name="connsiteY0" fmla="*/ 0 h 1719263"/>
              <a:gd name="connsiteX1" fmla="*/ 0 w 814387"/>
              <a:gd name="connsiteY1" fmla="*/ 0 h 1719263"/>
              <a:gd name="connsiteX2" fmla="*/ 814387 w 814387"/>
              <a:gd name="connsiteY2" fmla="*/ 1719263 h 1719263"/>
              <a:gd name="connsiteX3" fmla="*/ 481012 w 814387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387" h="1719263">
                <a:moveTo>
                  <a:pt x="481012" y="0"/>
                </a:moveTo>
                <a:lnTo>
                  <a:pt x="0" y="0"/>
                </a:lnTo>
                <a:lnTo>
                  <a:pt x="814387" y="1719263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19" name="Freeform: Shape 718">
            <a:extLst>
              <a:ext uri="{FF2B5EF4-FFF2-40B4-BE49-F238E27FC236}">
                <a16:creationId xmlns:a16="http://schemas.microsoft.com/office/drawing/2014/main" id="{753FA830-E3C6-4AE0-82BD-118CA77574D2}"/>
              </a:ext>
            </a:extLst>
          </xdr:cNvPr>
          <xdr:cNvSpPr/>
        </xdr:nvSpPr>
        <xdr:spPr>
          <a:xfrm>
            <a:off x="6153150" y="43462575"/>
            <a:ext cx="809625" cy="1709738"/>
          </a:xfrm>
          <a:custGeom>
            <a:avLst/>
            <a:gdLst>
              <a:gd name="connsiteX0" fmla="*/ 319087 w 809625"/>
              <a:gd name="connsiteY0" fmla="*/ 0 h 1704975"/>
              <a:gd name="connsiteX1" fmla="*/ 809625 w 809625"/>
              <a:gd name="connsiteY1" fmla="*/ 0 h 1704975"/>
              <a:gd name="connsiteX2" fmla="*/ 0 w 809625"/>
              <a:gd name="connsiteY2" fmla="*/ 1704975 h 1704975"/>
              <a:gd name="connsiteX3" fmla="*/ 323850 w 80962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09625" h="1704975">
                <a:moveTo>
                  <a:pt x="319087" y="0"/>
                </a:moveTo>
                <a:lnTo>
                  <a:pt x="809625" y="0"/>
                </a:lnTo>
                <a:lnTo>
                  <a:pt x="0" y="1704975"/>
                </a:lnTo>
                <a:lnTo>
                  <a:pt x="32385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720" name="Straight Connector 719">
            <a:extLst>
              <a:ext uri="{FF2B5EF4-FFF2-40B4-BE49-F238E27FC236}">
                <a16:creationId xmlns:a16="http://schemas.microsoft.com/office/drawing/2014/main" id="{30A3CA82-B5FA-4FE6-BF29-7A89A42597B8}"/>
              </a:ext>
            </a:extLst>
          </xdr:cNvPr>
          <xdr:cNvCxnSpPr/>
        </xdr:nvCxnSpPr>
        <xdr:spPr>
          <a:xfrm>
            <a:off x="5343525" y="44391263"/>
            <a:ext cx="0" cy="852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Straight Connector 720">
            <a:extLst>
              <a:ext uri="{FF2B5EF4-FFF2-40B4-BE49-F238E27FC236}">
                <a16:creationId xmlns:a16="http://schemas.microsoft.com/office/drawing/2014/main" id="{CEDE578A-0976-4606-823D-C9BAF0ECD4D9}"/>
              </a:ext>
            </a:extLst>
          </xdr:cNvPr>
          <xdr:cNvCxnSpPr/>
        </xdr:nvCxnSpPr>
        <xdr:spPr>
          <a:xfrm flipH="1">
            <a:off x="5305423" y="44419835"/>
            <a:ext cx="76202" cy="762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" name="Straight Connector 721">
            <a:extLst>
              <a:ext uri="{FF2B5EF4-FFF2-40B4-BE49-F238E27FC236}">
                <a16:creationId xmlns:a16="http://schemas.microsoft.com/office/drawing/2014/main" id="{E244ADF7-50AA-4763-BA2D-1819C9A8255E}"/>
              </a:ext>
            </a:extLst>
          </xdr:cNvPr>
          <xdr:cNvCxnSpPr/>
        </xdr:nvCxnSpPr>
        <xdr:spPr>
          <a:xfrm flipH="1">
            <a:off x="5305423" y="45138974"/>
            <a:ext cx="76202" cy="762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" name="Straight Connector 723">
            <a:extLst>
              <a:ext uri="{FF2B5EF4-FFF2-40B4-BE49-F238E27FC236}">
                <a16:creationId xmlns:a16="http://schemas.microsoft.com/office/drawing/2014/main" id="{49A1EAB7-6635-667F-E154-035A09F0E44D}"/>
              </a:ext>
            </a:extLst>
          </xdr:cNvPr>
          <xdr:cNvCxnSpPr/>
        </xdr:nvCxnSpPr>
        <xdr:spPr>
          <a:xfrm>
            <a:off x="4605338" y="44462700"/>
            <a:ext cx="809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" name="Straight Connector 725">
            <a:extLst>
              <a:ext uri="{FF2B5EF4-FFF2-40B4-BE49-F238E27FC236}">
                <a16:creationId xmlns:a16="http://schemas.microsoft.com/office/drawing/2014/main" id="{51917019-C45B-E965-89D6-96467B37A77C}"/>
              </a:ext>
            </a:extLst>
          </xdr:cNvPr>
          <xdr:cNvCxnSpPr/>
        </xdr:nvCxnSpPr>
        <xdr:spPr>
          <a:xfrm>
            <a:off x="4938713" y="45177076"/>
            <a:ext cx="4714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</xdr:colOff>
      <xdr:row>321</xdr:row>
      <xdr:rowOff>138113</xdr:rowOff>
    </xdr:from>
    <xdr:to>
      <xdr:col>42</xdr:col>
      <xdr:colOff>0</xdr:colOff>
      <xdr:row>337</xdr:row>
      <xdr:rowOff>4763</xdr:rowOff>
    </xdr:to>
    <xdr:grpSp>
      <xdr:nvGrpSpPr>
        <xdr:cNvPr id="193" name="Group 192">
          <a:extLst>
            <a:ext uri="{FF2B5EF4-FFF2-40B4-BE49-F238E27FC236}">
              <a16:creationId xmlns:a16="http://schemas.microsoft.com/office/drawing/2014/main" id="{66242265-D8EB-9BF3-B4FA-C0F96ED21720}"/>
            </a:ext>
          </a:extLst>
        </xdr:cNvPr>
        <xdr:cNvGrpSpPr/>
      </xdr:nvGrpSpPr>
      <xdr:grpSpPr>
        <a:xfrm>
          <a:off x="3895725" y="46886813"/>
          <a:ext cx="2905125" cy="2152650"/>
          <a:chOff x="4057650" y="46886813"/>
          <a:chExt cx="2905125" cy="2152650"/>
        </a:xfrm>
      </xdr:grpSpPr>
      <xdr:sp macro="" textlink="">
        <xdr:nvSpPr>
          <xdr:cNvPr id="757" name="Freeform: Shape 756">
            <a:extLst>
              <a:ext uri="{FF2B5EF4-FFF2-40B4-BE49-F238E27FC236}">
                <a16:creationId xmlns:a16="http://schemas.microsoft.com/office/drawing/2014/main" id="{195BC0B4-C539-4B80-93D2-48679D319E80}"/>
              </a:ext>
            </a:extLst>
          </xdr:cNvPr>
          <xdr:cNvSpPr/>
        </xdr:nvSpPr>
        <xdr:spPr>
          <a:xfrm>
            <a:off x="4533897" y="473202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58" name="Straight Connector 757">
            <a:extLst>
              <a:ext uri="{FF2B5EF4-FFF2-40B4-BE49-F238E27FC236}">
                <a16:creationId xmlns:a16="http://schemas.microsoft.com/office/drawing/2014/main" id="{B75A58F7-13C7-4DBF-929D-8EAD896AE1D6}"/>
              </a:ext>
            </a:extLst>
          </xdr:cNvPr>
          <xdr:cNvCxnSpPr/>
        </xdr:nvCxnSpPr>
        <xdr:spPr>
          <a:xfrm flipV="1">
            <a:off x="4533901" y="46886813"/>
            <a:ext cx="0" cy="4333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Connector 758">
            <a:extLst>
              <a:ext uri="{FF2B5EF4-FFF2-40B4-BE49-F238E27FC236}">
                <a16:creationId xmlns:a16="http://schemas.microsoft.com/office/drawing/2014/main" id="{6EE93BEF-AE93-4BE3-A25B-2CB9871F1CE0}"/>
              </a:ext>
            </a:extLst>
          </xdr:cNvPr>
          <xdr:cNvCxnSpPr/>
        </xdr:nvCxnSpPr>
        <xdr:spPr>
          <a:xfrm flipV="1">
            <a:off x="6477001" y="46901100"/>
            <a:ext cx="0" cy="41433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0" name="Freeform: Shape 759">
            <a:extLst>
              <a:ext uri="{FF2B5EF4-FFF2-40B4-BE49-F238E27FC236}">
                <a16:creationId xmlns:a16="http://schemas.microsoft.com/office/drawing/2014/main" id="{CBDE0031-C098-45E5-B990-2F0D978E5FBE}"/>
              </a:ext>
            </a:extLst>
          </xdr:cNvPr>
          <xdr:cNvSpPr/>
        </xdr:nvSpPr>
        <xdr:spPr>
          <a:xfrm>
            <a:off x="4533900" y="46891575"/>
            <a:ext cx="1943100" cy="866776"/>
          </a:xfrm>
          <a:custGeom>
            <a:avLst/>
            <a:gdLst>
              <a:gd name="connsiteX0" fmla="*/ 0 w 1943100"/>
              <a:gd name="connsiteY0" fmla="*/ 0 h 866776"/>
              <a:gd name="connsiteX1" fmla="*/ 957263 w 1943100"/>
              <a:gd name="connsiteY1" fmla="*/ 866775 h 866776"/>
              <a:gd name="connsiteX2" fmla="*/ 1943100 w 1943100"/>
              <a:gd name="connsiteY2" fmla="*/ 4763 h 8667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866776">
                <a:moveTo>
                  <a:pt x="0" y="0"/>
                </a:moveTo>
                <a:cubicBezTo>
                  <a:pt x="316706" y="432990"/>
                  <a:pt x="633413" y="865981"/>
                  <a:pt x="957263" y="866775"/>
                </a:cubicBezTo>
                <a:cubicBezTo>
                  <a:pt x="1281113" y="867569"/>
                  <a:pt x="1612106" y="436166"/>
                  <a:pt x="1943100" y="4763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0A25D697-9191-4982-9E73-0725D708A8A8}"/>
              </a:ext>
            </a:extLst>
          </xdr:cNvPr>
          <xdr:cNvCxnSpPr/>
        </xdr:nvCxnSpPr>
        <xdr:spPr>
          <a:xfrm flipV="1">
            <a:off x="5505450" y="47324963"/>
            <a:ext cx="0" cy="4286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Straight Connector 768">
            <a:extLst>
              <a:ext uri="{FF2B5EF4-FFF2-40B4-BE49-F238E27FC236}">
                <a16:creationId xmlns:a16="http://schemas.microsoft.com/office/drawing/2014/main" id="{F214770C-A3B9-4BFA-8052-616FE1D6E0DF}"/>
              </a:ext>
            </a:extLst>
          </xdr:cNvPr>
          <xdr:cNvCxnSpPr/>
        </xdr:nvCxnSpPr>
        <xdr:spPr>
          <a:xfrm>
            <a:off x="4462466" y="48177450"/>
            <a:ext cx="11144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Connector 769">
            <a:extLst>
              <a:ext uri="{FF2B5EF4-FFF2-40B4-BE49-F238E27FC236}">
                <a16:creationId xmlns:a16="http://schemas.microsoft.com/office/drawing/2014/main" id="{C654809C-EA9A-434B-AB01-7279D518FAF3}"/>
              </a:ext>
            </a:extLst>
          </xdr:cNvPr>
          <xdr:cNvCxnSpPr/>
        </xdr:nvCxnSpPr>
        <xdr:spPr>
          <a:xfrm flipH="1">
            <a:off x="4500564" y="4813934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BCB21163-57EF-4957-8E0E-01F5DBDC9EE0}"/>
              </a:ext>
            </a:extLst>
          </xdr:cNvPr>
          <xdr:cNvCxnSpPr/>
        </xdr:nvCxnSpPr>
        <xdr:spPr>
          <a:xfrm>
            <a:off x="5505450" y="4794408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Connector 771">
            <a:extLst>
              <a:ext uri="{FF2B5EF4-FFF2-40B4-BE49-F238E27FC236}">
                <a16:creationId xmlns:a16="http://schemas.microsoft.com/office/drawing/2014/main" id="{5EE536DD-B998-4A51-9972-9F15F7F952F8}"/>
              </a:ext>
            </a:extLst>
          </xdr:cNvPr>
          <xdr:cNvCxnSpPr/>
        </xdr:nvCxnSpPr>
        <xdr:spPr>
          <a:xfrm flipH="1">
            <a:off x="5467350" y="481393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73" name="Freeform: Shape 772">
            <a:extLst>
              <a:ext uri="{FF2B5EF4-FFF2-40B4-BE49-F238E27FC236}">
                <a16:creationId xmlns:a16="http://schemas.microsoft.com/office/drawing/2014/main" id="{D01356CD-6E0F-4F50-9E65-A622C7721B6E}"/>
              </a:ext>
            </a:extLst>
          </xdr:cNvPr>
          <xdr:cNvSpPr/>
        </xdr:nvSpPr>
        <xdr:spPr>
          <a:xfrm>
            <a:off x="4057650" y="47320203"/>
            <a:ext cx="814387" cy="1714497"/>
          </a:xfrm>
          <a:custGeom>
            <a:avLst/>
            <a:gdLst>
              <a:gd name="connsiteX0" fmla="*/ 481012 w 814387"/>
              <a:gd name="connsiteY0" fmla="*/ 0 h 1719263"/>
              <a:gd name="connsiteX1" fmla="*/ 0 w 814387"/>
              <a:gd name="connsiteY1" fmla="*/ 0 h 1719263"/>
              <a:gd name="connsiteX2" fmla="*/ 814387 w 814387"/>
              <a:gd name="connsiteY2" fmla="*/ 1719263 h 1719263"/>
              <a:gd name="connsiteX3" fmla="*/ 481012 w 814387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387" h="1719263">
                <a:moveTo>
                  <a:pt x="481012" y="0"/>
                </a:moveTo>
                <a:lnTo>
                  <a:pt x="0" y="0"/>
                </a:lnTo>
                <a:lnTo>
                  <a:pt x="814387" y="1719263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74" name="Freeform: Shape 773">
            <a:extLst>
              <a:ext uri="{FF2B5EF4-FFF2-40B4-BE49-F238E27FC236}">
                <a16:creationId xmlns:a16="http://schemas.microsoft.com/office/drawing/2014/main" id="{989053E8-4215-4EAE-ACFE-D23389EC4AB9}"/>
              </a:ext>
            </a:extLst>
          </xdr:cNvPr>
          <xdr:cNvSpPr/>
        </xdr:nvSpPr>
        <xdr:spPr>
          <a:xfrm>
            <a:off x="6153150" y="47320201"/>
            <a:ext cx="809625" cy="1714500"/>
          </a:xfrm>
          <a:custGeom>
            <a:avLst/>
            <a:gdLst>
              <a:gd name="connsiteX0" fmla="*/ 319087 w 809625"/>
              <a:gd name="connsiteY0" fmla="*/ 0 h 1704975"/>
              <a:gd name="connsiteX1" fmla="*/ 809625 w 809625"/>
              <a:gd name="connsiteY1" fmla="*/ 0 h 1704975"/>
              <a:gd name="connsiteX2" fmla="*/ 0 w 809625"/>
              <a:gd name="connsiteY2" fmla="*/ 1704975 h 1704975"/>
              <a:gd name="connsiteX3" fmla="*/ 323850 w 80962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09625" h="1704975">
                <a:moveTo>
                  <a:pt x="319087" y="0"/>
                </a:moveTo>
                <a:lnTo>
                  <a:pt x="809625" y="0"/>
                </a:lnTo>
                <a:lnTo>
                  <a:pt x="0" y="1704975"/>
                </a:lnTo>
                <a:lnTo>
                  <a:pt x="32385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24</xdr:col>
      <xdr:colOff>90488</xdr:colOff>
      <xdr:row>349</xdr:row>
      <xdr:rowOff>0</xdr:rowOff>
    </xdr:from>
    <xdr:to>
      <xdr:col>42</xdr:col>
      <xdr:colOff>4763</xdr:colOff>
      <xdr:row>364</xdr:row>
      <xdr:rowOff>4763</xdr:rowOff>
    </xdr:to>
    <xdr:grpSp>
      <xdr:nvGrpSpPr>
        <xdr:cNvPr id="203" name="Group 202">
          <a:extLst>
            <a:ext uri="{FF2B5EF4-FFF2-40B4-BE49-F238E27FC236}">
              <a16:creationId xmlns:a16="http://schemas.microsoft.com/office/drawing/2014/main" id="{0FB901D6-D242-8CC7-32B5-E3B25C84BFC5}"/>
            </a:ext>
          </a:extLst>
        </xdr:cNvPr>
        <xdr:cNvGrpSpPr/>
      </xdr:nvGrpSpPr>
      <xdr:grpSpPr>
        <a:xfrm>
          <a:off x="3976688" y="50749200"/>
          <a:ext cx="2828925" cy="2147888"/>
          <a:chOff x="4138613" y="50749200"/>
          <a:chExt cx="2828925" cy="2147888"/>
        </a:xfrm>
      </xdr:grpSpPr>
      <xdr:sp macro="" textlink="">
        <xdr:nvSpPr>
          <xdr:cNvPr id="796" name="Freeform: Shape 795">
            <a:extLst>
              <a:ext uri="{FF2B5EF4-FFF2-40B4-BE49-F238E27FC236}">
                <a16:creationId xmlns:a16="http://schemas.microsoft.com/office/drawing/2014/main" id="{9B3FB0CB-6EA6-4003-8B88-0218298B1251}"/>
              </a:ext>
            </a:extLst>
          </xdr:cNvPr>
          <xdr:cNvSpPr/>
        </xdr:nvSpPr>
        <xdr:spPr>
          <a:xfrm>
            <a:off x="4533897" y="51177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13" name="Freeform: Shape 812">
            <a:extLst>
              <a:ext uri="{FF2B5EF4-FFF2-40B4-BE49-F238E27FC236}">
                <a16:creationId xmlns:a16="http://schemas.microsoft.com/office/drawing/2014/main" id="{64544C71-950C-47EA-BC66-46053553572C}"/>
              </a:ext>
            </a:extLst>
          </xdr:cNvPr>
          <xdr:cNvSpPr/>
        </xdr:nvSpPr>
        <xdr:spPr>
          <a:xfrm>
            <a:off x="4538663" y="50749200"/>
            <a:ext cx="1938337" cy="1000125"/>
          </a:xfrm>
          <a:custGeom>
            <a:avLst/>
            <a:gdLst>
              <a:gd name="connsiteX0" fmla="*/ 0 w 1938337"/>
              <a:gd name="connsiteY0" fmla="*/ 1000125 h 1000125"/>
              <a:gd name="connsiteX1" fmla="*/ 1938337 w 1938337"/>
              <a:gd name="connsiteY1" fmla="*/ 0 h 1000125"/>
              <a:gd name="connsiteX2" fmla="*/ 1938337 w 1938337"/>
              <a:gd name="connsiteY2" fmla="*/ 423863 h 1000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1000125">
                <a:moveTo>
                  <a:pt x="0" y="1000125"/>
                </a:moveTo>
                <a:lnTo>
                  <a:pt x="1938337" y="0"/>
                </a:lnTo>
                <a:lnTo>
                  <a:pt x="1938337" y="4238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21" name="Freeform: Shape 820">
            <a:extLst>
              <a:ext uri="{FF2B5EF4-FFF2-40B4-BE49-F238E27FC236}">
                <a16:creationId xmlns:a16="http://schemas.microsoft.com/office/drawing/2014/main" id="{0782BC02-4FEB-EA7C-02A9-9F3DBE583199}"/>
              </a:ext>
            </a:extLst>
          </xdr:cNvPr>
          <xdr:cNvSpPr/>
        </xdr:nvSpPr>
        <xdr:spPr>
          <a:xfrm>
            <a:off x="5986463" y="51182588"/>
            <a:ext cx="981075" cy="1704975"/>
          </a:xfrm>
          <a:custGeom>
            <a:avLst/>
            <a:gdLst>
              <a:gd name="connsiteX0" fmla="*/ 495300 w 981075"/>
              <a:gd name="connsiteY0" fmla="*/ 0 h 1704975"/>
              <a:gd name="connsiteX1" fmla="*/ 981075 w 981075"/>
              <a:gd name="connsiteY1" fmla="*/ 0 h 1704975"/>
              <a:gd name="connsiteX2" fmla="*/ 0 w 981075"/>
              <a:gd name="connsiteY2" fmla="*/ 1704975 h 1704975"/>
              <a:gd name="connsiteX3" fmla="*/ 495300 w 98107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1075" h="1704975">
                <a:moveTo>
                  <a:pt x="495300" y="0"/>
                </a:moveTo>
                <a:lnTo>
                  <a:pt x="981075" y="0"/>
                </a:lnTo>
                <a:lnTo>
                  <a:pt x="0" y="1704975"/>
                </a:lnTo>
                <a:lnTo>
                  <a:pt x="49530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B580F925-8220-4411-7BA7-F9F9DC3A77D0}"/>
              </a:ext>
            </a:extLst>
          </xdr:cNvPr>
          <xdr:cNvCxnSpPr/>
        </xdr:nvCxnSpPr>
        <xdr:spPr>
          <a:xfrm flipH="1">
            <a:off x="4138613" y="52892326"/>
            <a:ext cx="3905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4" name="Freeform: Shape 823">
            <a:extLst>
              <a:ext uri="{FF2B5EF4-FFF2-40B4-BE49-F238E27FC236}">
                <a16:creationId xmlns:a16="http://schemas.microsoft.com/office/drawing/2014/main" id="{0D208B20-201B-3C0D-A24A-44CD0085D75E}"/>
              </a:ext>
            </a:extLst>
          </xdr:cNvPr>
          <xdr:cNvSpPr/>
        </xdr:nvSpPr>
        <xdr:spPr>
          <a:xfrm>
            <a:off x="4143375" y="51173063"/>
            <a:ext cx="1005044" cy="1719262"/>
          </a:xfrm>
          <a:custGeom>
            <a:avLst/>
            <a:gdLst>
              <a:gd name="connsiteX0" fmla="*/ 719138 w 1005044"/>
              <a:gd name="connsiteY0" fmla="*/ 0 h 1719262"/>
              <a:gd name="connsiteX1" fmla="*/ 966788 w 1005044"/>
              <a:gd name="connsiteY1" fmla="*/ 614362 h 1719262"/>
              <a:gd name="connsiteX2" fmla="*/ 0 w 1005044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5044" h="1719262">
                <a:moveTo>
                  <a:pt x="719138" y="0"/>
                </a:moveTo>
                <a:cubicBezTo>
                  <a:pt x="902891" y="163909"/>
                  <a:pt x="1086644" y="327818"/>
                  <a:pt x="966788" y="614362"/>
                </a:cubicBezTo>
                <a:cubicBezTo>
                  <a:pt x="846932" y="900906"/>
                  <a:pt x="423466" y="1310084"/>
                  <a:pt x="0" y="1719262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24</xdr:col>
      <xdr:colOff>85725</xdr:colOff>
      <xdr:row>373</xdr:row>
      <xdr:rowOff>0</xdr:rowOff>
    </xdr:from>
    <xdr:to>
      <xdr:col>42</xdr:col>
      <xdr:colOff>4763</xdr:colOff>
      <xdr:row>388</xdr:row>
      <xdr:rowOff>4763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92B1E945-313D-B2D3-8E94-FA4B0342E96E}"/>
            </a:ext>
          </a:extLst>
        </xdr:cNvPr>
        <xdr:cNvGrpSpPr/>
      </xdr:nvGrpSpPr>
      <xdr:grpSpPr>
        <a:xfrm>
          <a:off x="3971925" y="54178200"/>
          <a:ext cx="2833688" cy="2147888"/>
          <a:chOff x="4133850" y="54178200"/>
          <a:chExt cx="2833688" cy="2147888"/>
        </a:xfrm>
      </xdr:grpSpPr>
      <xdr:sp macro="" textlink="">
        <xdr:nvSpPr>
          <xdr:cNvPr id="846" name="Freeform: Shape 845">
            <a:extLst>
              <a:ext uri="{FF2B5EF4-FFF2-40B4-BE49-F238E27FC236}">
                <a16:creationId xmlns:a16="http://schemas.microsoft.com/office/drawing/2014/main" id="{837CDDCB-D990-4644-81FD-99DC2F0E4A8B}"/>
              </a:ext>
            </a:extLst>
          </xdr:cNvPr>
          <xdr:cNvSpPr/>
        </xdr:nvSpPr>
        <xdr:spPr>
          <a:xfrm>
            <a:off x="4533897" y="54606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8" name="Freeform: Shape 847">
            <a:extLst>
              <a:ext uri="{FF2B5EF4-FFF2-40B4-BE49-F238E27FC236}">
                <a16:creationId xmlns:a16="http://schemas.microsoft.com/office/drawing/2014/main" id="{81A984BA-F608-4D1F-878F-55DE2082028D}"/>
              </a:ext>
            </a:extLst>
          </xdr:cNvPr>
          <xdr:cNvSpPr/>
        </xdr:nvSpPr>
        <xdr:spPr>
          <a:xfrm>
            <a:off x="4538663" y="54178200"/>
            <a:ext cx="1938337" cy="862013"/>
          </a:xfrm>
          <a:custGeom>
            <a:avLst/>
            <a:gdLst>
              <a:gd name="connsiteX0" fmla="*/ 0 w 1938337"/>
              <a:gd name="connsiteY0" fmla="*/ 862013 h 862013"/>
              <a:gd name="connsiteX1" fmla="*/ 1938337 w 1938337"/>
              <a:gd name="connsiteY1" fmla="*/ 0 h 862013"/>
              <a:gd name="connsiteX2" fmla="*/ 1938337 w 1938337"/>
              <a:gd name="connsiteY2" fmla="*/ 442913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862013">
                <a:moveTo>
                  <a:pt x="0" y="862013"/>
                </a:moveTo>
                <a:lnTo>
                  <a:pt x="1938337" y="0"/>
                </a:lnTo>
                <a:lnTo>
                  <a:pt x="1938337" y="4429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63" name="Freeform: Shape 862">
            <a:extLst>
              <a:ext uri="{FF2B5EF4-FFF2-40B4-BE49-F238E27FC236}">
                <a16:creationId xmlns:a16="http://schemas.microsoft.com/office/drawing/2014/main" id="{3ED493AD-E89E-444A-8CA7-49098DC6CB88}"/>
              </a:ext>
            </a:extLst>
          </xdr:cNvPr>
          <xdr:cNvSpPr/>
        </xdr:nvSpPr>
        <xdr:spPr>
          <a:xfrm>
            <a:off x="5986463" y="54616350"/>
            <a:ext cx="981075" cy="1704975"/>
          </a:xfrm>
          <a:custGeom>
            <a:avLst/>
            <a:gdLst>
              <a:gd name="connsiteX0" fmla="*/ 495300 w 981075"/>
              <a:gd name="connsiteY0" fmla="*/ 0 h 1704975"/>
              <a:gd name="connsiteX1" fmla="*/ 981075 w 981075"/>
              <a:gd name="connsiteY1" fmla="*/ 0 h 1704975"/>
              <a:gd name="connsiteX2" fmla="*/ 0 w 981075"/>
              <a:gd name="connsiteY2" fmla="*/ 1704975 h 1704975"/>
              <a:gd name="connsiteX3" fmla="*/ 495300 w 98107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1075" h="1704975">
                <a:moveTo>
                  <a:pt x="495300" y="0"/>
                </a:moveTo>
                <a:lnTo>
                  <a:pt x="981075" y="0"/>
                </a:lnTo>
                <a:lnTo>
                  <a:pt x="0" y="1704975"/>
                </a:lnTo>
                <a:lnTo>
                  <a:pt x="49530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64" name="Freeform: Shape 863">
            <a:extLst>
              <a:ext uri="{FF2B5EF4-FFF2-40B4-BE49-F238E27FC236}">
                <a16:creationId xmlns:a16="http://schemas.microsoft.com/office/drawing/2014/main" id="{8369A8EE-14A8-4943-B5B8-E27A0D8F2703}"/>
              </a:ext>
            </a:extLst>
          </xdr:cNvPr>
          <xdr:cNvSpPr/>
        </xdr:nvSpPr>
        <xdr:spPr>
          <a:xfrm>
            <a:off x="4133850" y="54606825"/>
            <a:ext cx="1005044" cy="1719262"/>
          </a:xfrm>
          <a:custGeom>
            <a:avLst/>
            <a:gdLst>
              <a:gd name="connsiteX0" fmla="*/ 719138 w 1005044"/>
              <a:gd name="connsiteY0" fmla="*/ 0 h 1719262"/>
              <a:gd name="connsiteX1" fmla="*/ 966788 w 1005044"/>
              <a:gd name="connsiteY1" fmla="*/ 614362 h 1719262"/>
              <a:gd name="connsiteX2" fmla="*/ 0 w 1005044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5044" h="1719262">
                <a:moveTo>
                  <a:pt x="719138" y="0"/>
                </a:moveTo>
                <a:cubicBezTo>
                  <a:pt x="902891" y="163909"/>
                  <a:pt x="1086644" y="327818"/>
                  <a:pt x="966788" y="614362"/>
                </a:cubicBezTo>
                <a:cubicBezTo>
                  <a:pt x="846932" y="900906"/>
                  <a:pt x="423466" y="1310084"/>
                  <a:pt x="0" y="1719262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865" name="Straight Connector 864">
            <a:extLst>
              <a:ext uri="{FF2B5EF4-FFF2-40B4-BE49-F238E27FC236}">
                <a16:creationId xmlns:a16="http://schemas.microsoft.com/office/drawing/2014/main" id="{5C8DA9BF-BF24-4BFB-A622-9A81A586F4EA}"/>
              </a:ext>
            </a:extLst>
          </xdr:cNvPr>
          <xdr:cNvCxnSpPr/>
        </xdr:nvCxnSpPr>
        <xdr:spPr>
          <a:xfrm flipH="1">
            <a:off x="4143375" y="56321325"/>
            <a:ext cx="3905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272</xdr:row>
      <xdr:rowOff>33339</xdr:rowOff>
    </xdr:from>
    <xdr:to>
      <xdr:col>22</xdr:col>
      <xdr:colOff>4762</xdr:colOff>
      <xdr:row>292</xdr:row>
      <xdr:rowOff>66675</xdr:rowOff>
    </xdr:to>
    <xdr:grpSp>
      <xdr:nvGrpSpPr>
        <xdr:cNvPr id="185" name="Group 184">
          <a:extLst>
            <a:ext uri="{FF2B5EF4-FFF2-40B4-BE49-F238E27FC236}">
              <a16:creationId xmlns:a16="http://schemas.microsoft.com/office/drawing/2014/main" id="{BEBA1C74-B804-D2F5-6E8A-F3F8D3345470}"/>
            </a:ext>
          </a:extLst>
        </xdr:cNvPr>
        <xdr:cNvGrpSpPr/>
      </xdr:nvGrpSpPr>
      <xdr:grpSpPr>
        <a:xfrm>
          <a:off x="400050" y="39781164"/>
          <a:ext cx="3167062" cy="2890836"/>
          <a:chOff x="561975" y="39781164"/>
          <a:chExt cx="3167062" cy="2890836"/>
        </a:xfrm>
      </xdr:grpSpPr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8AE4DAAC-BFC1-43FB-A73E-0234B378F48A}"/>
              </a:ext>
            </a:extLst>
          </xdr:cNvPr>
          <xdr:cNvSpPr/>
        </xdr:nvSpPr>
        <xdr:spPr>
          <a:xfrm>
            <a:off x="1138238" y="417528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20" name="Freeform: Shape 619">
            <a:extLst>
              <a:ext uri="{FF2B5EF4-FFF2-40B4-BE49-F238E27FC236}">
                <a16:creationId xmlns:a16="http://schemas.microsoft.com/office/drawing/2014/main" id="{39DA08E4-8E59-4F3A-8A00-DE4FC6C4B7BD}"/>
              </a:ext>
            </a:extLst>
          </xdr:cNvPr>
          <xdr:cNvSpPr/>
        </xdr:nvSpPr>
        <xdr:spPr>
          <a:xfrm>
            <a:off x="1295401" y="40033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6D5D0122-2995-4105-94DA-D174DE730E3C}"/>
              </a:ext>
            </a:extLst>
          </xdr:cNvPr>
          <xdr:cNvCxnSpPr/>
        </xdr:nvCxnSpPr>
        <xdr:spPr>
          <a:xfrm>
            <a:off x="1133475" y="417480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4533F095-A38C-4C8B-8175-0E7B90D55F83}"/>
              </a:ext>
            </a:extLst>
          </xdr:cNvPr>
          <xdr:cNvSpPr/>
        </xdr:nvSpPr>
        <xdr:spPr>
          <a:xfrm>
            <a:off x="3081338" y="417575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25" name="Straight Connector 624">
            <a:extLst>
              <a:ext uri="{FF2B5EF4-FFF2-40B4-BE49-F238E27FC236}">
                <a16:creationId xmlns:a16="http://schemas.microsoft.com/office/drawing/2014/main" id="{54BAA177-BEE5-4510-81D3-04B6D0A0A7E1}"/>
              </a:ext>
            </a:extLst>
          </xdr:cNvPr>
          <xdr:cNvCxnSpPr/>
        </xdr:nvCxnSpPr>
        <xdr:spPr>
          <a:xfrm>
            <a:off x="3076575" y="417528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Arrow Connector 625">
            <a:extLst>
              <a:ext uri="{FF2B5EF4-FFF2-40B4-BE49-F238E27FC236}">
                <a16:creationId xmlns:a16="http://schemas.microsoft.com/office/drawing/2014/main" id="{B55901A4-CA12-496F-8A3A-6D23DECA5EED}"/>
              </a:ext>
            </a:extLst>
          </xdr:cNvPr>
          <xdr:cNvCxnSpPr/>
        </xdr:nvCxnSpPr>
        <xdr:spPr>
          <a:xfrm>
            <a:off x="1295401" y="3979068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Connector 626">
            <a:extLst>
              <a:ext uri="{FF2B5EF4-FFF2-40B4-BE49-F238E27FC236}">
                <a16:creationId xmlns:a16="http://schemas.microsoft.com/office/drawing/2014/main" id="{95E2C645-CC1D-4AAA-8827-49DE4B9D3129}"/>
              </a:ext>
            </a:extLst>
          </xdr:cNvPr>
          <xdr:cNvCxnSpPr/>
        </xdr:nvCxnSpPr>
        <xdr:spPr>
          <a:xfrm>
            <a:off x="1290639" y="39781164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Arrow Connector 627">
            <a:extLst>
              <a:ext uri="{FF2B5EF4-FFF2-40B4-BE49-F238E27FC236}">
                <a16:creationId xmlns:a16="http://schemas.microsoft.com/office/drawing/2014/main" id="{5695F597-B5F5-4313-B2AC-063BACFE80D9}"/>
              </a:ext>
            </a:extLst>
          </xdr:cNvPr>
          <xdr:cNvCxnSpPr/>
        </xdr:nvCxnSpPr>
        <xdr:spPr>
          <a:xfrm>
            <a:off x="1457326" y="3979068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Straight Arrow Connector 628">
            <a:extLst>
              <a:ext uri="{FF2B5EF4-FFF2-40B4-BE49-F238E27FC236}">
                <a16:creationId xmlns:a16="http://schemas.microsoft.com/office/drawing/2014/main" id="{075BC539-4F7B-4715-881B-D8C693FF5BBA}"/>
              </a:ext>
            </a:extLst>
          </xdr:cNvPr>
          <xdr:cNvCxnSpPr/>
        </xdr:nvCxnSpPr>
        <xdr:spPr>
          <a:xfrm>
            <a:off x="1619252" y="3979068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Arrow Connector 629">
            <a:extLst>
              <a:ext uri="{FF2B5EF4-FFF2-40B4-BE49-F238E27FC236}">
                <a16:creationId xmlns:a16="http://schemas.microsoft.com/office/drawing/2014/main" id="{EA679EEB-850F-48F6-A74F-25F282D53A0A}"/>
              </a:ext>
            </a:extLst>
          </xdr:cNvPr>
          <xdr:cNvCxnSpPr/>
        </xdr:nvCxnSpPr>
        <xdr:spPr>
          <a:xfrm>
            <a:off x="1781177" y="3979068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Arrow Connector 630">
            <a:extLst>
              <a:ext uri="{FF2B5EF4-FFF2-40B4-BE49-F238E27FC236}">
                <a16:creationId xmlns:a16="http://schemas.microsoft.com/office/drawing/2014/main" id="{41A65309-01FA-4958-8F59-7476ECDE1B34}"/>
              </a:ext>
            </a:extLst>
          </xdr:cNvPr>
          <xdr:cNvCxnSpPr/>
        </xdr:nvCxnSpPr>
        <xdr:spPr>
          <a:xfrm>
            <a:off x="1943101" y="39785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Arrow Connector 631">
            <a:extLst>
              <a:ext uri="{FF2B5EF4-FFF2-40B4-BE49-F238E27FC236}">
                <a16:creationId xmlns:a16="http://schemas.microsoft.com/office/drawing/2014/main" id="{F01598DC-BC65-4148-9636-09F5A15AE8BD}"/>
              </a:ext>
            </a:extLst>
          </xdr:cNvPr>
          <xdr:cNvCxnSpPr/>
        </xdr:nvCxnSpPr>
        <xdr:spPr>
          <a:xfrm>
            <a:off x="2105026" y="39785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Arrow Connector 632">
            <a:extLst>
              <a:ext uri="{FF2B5EF4-FFF2-40B4-BE49-F238E27FC236}">
                <a16:creationId xmlns:a16="http://schemas.microsoft.com/office/drawing/2014/main" id="{1B741BEC-DA0E-4116-9692-FE98E5E1C0E6}"/>
              </a:ext>
            </a:extLst>
          </xdr:cNvPr>
          <xdr:cNvCxnSpPr/>
        </xdr:nvCxnSpPr>
        <xdr:spPr>
          <a:xfrm>
            <a:off x="2266952" y="39785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93225F90-26D1-47DE-8440-4D4F9EACBC7B}"/>
              </a:ext>
            </a:extLst>
          </xdr:cNvPr>
          <xdr:cNvCxnSpPr/>
        </xdr:nvCxnSpPr>
        <xdr:spPr>
          <a:xfrm>
            <a:off x="2428877" y="39785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C9771BDB-F6AB-422A-9C86-BBB3040FF4E2}"/>
              </a:ext>
            </a:extLst>
          </xdr:cNvPr>
          <xdr:cNvCxnSpPr/>
        </xdr:nvCxnSpPr>
        <xdr:spPr>
          <a:xfrm>
            <a:off x="2590800" y="39790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E1D33D4D-95D1-4CE2-B6B6-472FCBA565B1}"/>
              </a:ext>
            </a:extLst>
          </xdr:cNvPr>
          <xdr:cNvCxnSpPr/>
        </xdr:nvCxnSpPr>
        <xdr:spPr>
          <a:xfrm>
            <a:off x="2752725" y="39790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Arrow Connector 636">
            <a:extLst>
              <a:ext uri="{FF2B5EF4-FFF2-40B4-BE49-F238E27FC236}">
                <a16:creationId xmlns:a16="http://schemas.microsoft.com/office/drawing/2014/main" id="{E5F99374-859D-42BF-8FEF-EB6784F4B30A}"/>
              </a:ext>
            </a:extLst>
          </xdr:cNvPr>
          <xdr:cNvCxnSpPr/>
        </xdr:nvCxnSpPr>
        <xdr:spPr>
          <a:xfrm>
            <a:off x="2914651" y="39790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E02F896C-CE57-49B1-977A-BA1E8D4ED9E6}"/>
              </a:ext>
            </a:extLst>
          </xdr:cNvPr>
          <xdr:cNvCxnSpPr/>
        </xdr:nvCxnSpPr>
        <xdr:spPr>
          <a:xfrm>
            <a:off x="3076576" y="39790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Arrow Connector 638">
            <a:extLst>
              <a:ext uri="{FF2B5EF4-FFF2-40B4-BE49-F238E27FC236}">
                <a16:creationId xmlns:a16="http://schemas.microsoft.com/office/drawing/2014/main" id="{7222F349-4C28-480C-BD14-56E63F6BC6B2}"/>
              </a:ext>
            </a:extLst>
          </xdr:cNvPr>
          <xdr:cNvCxnSpPr/>
        </xdr:nvCxnSpPr>
        <xdr:spPr>
          <a:xfrm>
            <a:off x="3238501" y="39790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Connector 639">
            <a:extLst>
              <a:ext uri="{FF2B5EF4-FFF2-40B4-BE49-F238E27FC236}">
                <a16:creationId xmlns:a16="http://schemas.microsoft.com/office/drawing/2014/main" id="{77D62EFA-7DDC-48E9-AB82-D6875841D81D}"/>
              </a:ext>
            </a:extLst>
          </xdr:cNvPr>
          <xdr:cNvCxnSpPr/>
        </xdr:nvCxnSpPr>
        <xdr:spPr>
          <a:xfrm>
            <a:off x="561975" y="4003357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Connector 640">
            <a:extLst>
              <a:ext uri="{FF2B5EF4-FFF2-40B4-BE49-F238E27FC236}">
                <a16:creationId xmlns:a16="http://schemas.microsoft.com/office/drawing/2014/main" id="{999A7599-BBED-452C-84E5-E233FD24D7AE}"/>
              </a:ext>
            </a:extLst>
          </xdr:cNvPr>
          <xdr:cNvCxnSpPr/>
        </xdr:nvCxnSpPr>
        <xdr:spPr>
          <a:xfrm>
            <a:off x="647701" y="399526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Connector 641">
            <a:extLst>
              <a:ext uri="{FF2B5EF4-FFF2-40B4-BE49-F238E27FC236}">
                <a16:creationId xmlns:a16="http://schemas.microsoft.com/office/drawing/2014/main" id="{936C6B11-B2A2-4E1D-BECF-116434CB76B7}"/>
              </a:ext>
            </a:extLst>
          </xdr:cNvPr>
          <xdr:cNvCxnSpPr/>
        </xdr:nvCxnSpPr>
        <xdr:spPr>
          <a:xfrm flipH="1">
            <a:off x="609600" y="399954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F4DD0BE0-739B-4026-A966-8F6D7C727187}"/>
              </a:ext>
            </a:extLst>
          </xdr:cNvPr>
          <xdr:cNvCxnSpPr/>
        </xdr:nvCxnSpPr>
        <xdr:spPr>
          <a:xfrm>
            <a:off x="561976" y="4174807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6BC6C544-15FD-4587-8D62-FC7EBE90160D}"/>
              </a:ext>
            </a:extLst>
          </xdr:cNvPr>
          <xdr:cNvCxnSpPr/>
        </xdr:nvCxnSpPr>
        <xdr:spPr>
          <a:xfrm flipH="1">
            <a:off x="609601" y="417099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Connector 644">
            <a:extLst>
              <a:ext uri="{FF2B5EF4-FFF2-40B4-BE49-F238E27FC236}">
                <a16:creationId xmlns:a16="http://schemas.microsoft.com/office/drawing/2014/main" id="{4181AC31-54B4-4CF5-84C0-024582121E4A}"/>
              </a:ext>
            </a:extLst>
          </xdr:cNvPr>
          <xdr:cNvCxnSpPr/>
        </xdr:nvCxnSpPr>
        <xdr:spPr>
          <a:xfrm>
            <a:off x="1295400" y="423719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9E80249A-6200-443C-B915-E8F6E4F9439C}"/>
              </a:ext>
            </a:extLst>
          </xdr:cNvPr>
          <xdr:cNvCxnSpPr/>
        </xdr:nvCxnSpPr>
        <xdr:spPr>
          <a:xfrm>
            <a:off x="1214439" y="426053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76BFAE41-5024-41A3-B8F2-1D05C24E5AC7}"/>
              </a:ext>
            </a:extLst>
          </xdr:cNvPr>
          <xdr:cNvCxnSpPr/>
        </xdr:nvCxnSpPr>
        <xdr:spPr>
          <a:xfrm flipH="1">
            <a:off x="1257302" y="42567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Connector 647">
            <a:extLst>
              <a:ext uri="{FF2B5EF4-FFF2-40B4-BE49-F238E27FC236}">
                <a16:creationId xmlns:a16="http://schemas.microsoft.com/office/drawing/2014/main" id="{E928156B-93D8-4A73-94DD-E23D8B34B687}"/>
              </a:ext>
            </a:extLst>
          </xdr:cNvPr>
          <xdr:cNvCxnSpPr/>
        </xdr:nvCxnSpPr>
        <xdr:spPr>
          <a:xfrm>
            <a:off x="3238503" y="423862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95B42986-7AE0-4040-BE49-CA2342D3F9D1}"/>
              </a:ext>
            </a:extLst>
          </xdr:cNvPr>
          <xdr:cNvCxnSpPr/>
        </xdr:nvCxnSpPr>
        <xdr:spPr>
          <a:xfrm flipH="1">
            <a:off x="3200405" y="42567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Arrow Connector 649">
            <a:extLst>
              <a:ext uri="{FF2B5EF4-FFF2-40B4-BE49-F238E27FC236}">
                <a16:creationId xmlns:a16="http://schemas.microsoft.com/office/drawing/2014/main" id="{DC633D0F-806A-46FF-A96A-AAE8A9D44740}"/>
              </a:ext>
            </a:extLst>
          </xdr:cNvPr>
          <xdr:cNvCxnSpPr/>
        </xdr:nvCxnSpPr>
        <xdr:spPr>
          <a:xfrm flipV="1">
            <a:off x="1295400" y="418718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Arrow Connector 650">
            <a:extLst>
              <a:ext uri="{FF2B5EF4-FFF2-40B4-BE49-F238E27FC236}">
                <a16:creationId xmlns:a16="http://schemas.microsoft.com/office/drawing/2014/main" id="{C269F01E-DCA6-4E95-B30B-6C71711C2357}"/>
              </a:ext>
            </a:extLst>
          </xdr:cNvPr>
          <xdr:cNvCxnSpPr/>
        </xdr:nvCxnSpPr>
        <xdr:spPr>
          <a:xfrm flipV="1">
            <a:off x="3238500" y="418718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Arrow Connector 651">
            <a:extLst>
              <a:ext uri="{FF2B5EF4-FFF2-40B4-BE49-F238E27FC236}">
                <a16:creationId xmlns:a16="http://schemas.microsoft.com/office/drawing/2014/main" id="{D5DC3FF5-9B7D-4EFF-B1B6-AEA1AE0136B0}"/>
              </a:ext>
            </a:extLst>
          </xdr:cNvPr>
          <xdr:cNvCxnSpPr/>
        </xdr:nvCxnSpPr>
        <xdr:spPr>
          <a:xfrm>
            <a:off x="823913" y="4174806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Arrow Connector 652">
            <a:extLst>
              <a:ext uri="{FF2B5EF4-FFF2-40B4-BE49-F238E27FC236}">
                <a16:creationId xmlns:a16="http://schemas.microsoft.com/office/drawing/2014/main" id="{F60F2A55-83DD-4101-89FF-6C44E5C26F94}"/>
              </a:ext>
            </a:extLst>
          </xdr:cNvPr>
          <xdr:cNvCxnSpPr/>
        </xdr:nvCxnSpPr>
        <xdr:spPr>
          <a:xfrm flipH="1">
            <a:off x="3419474" y="417480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6" name="Arc 865">
            <a:extLst>
              <a:ext uri="{FF2B5EF4-FFF2-40B4-BE49-F238E27FC236}">
                <a16:creationId xmlns:a16="http://schemas.microsoft.com/office/drawing/2014/main" id="{1A1CF12C-4502-3BA2-FD13-86E9364D516C}"/>
              </a:ext>
            </a:extLst>
          </xdr:cNvPr>
          <xdr:cNvSpPr/>
        </xdr:nvSpPr>
        <xdr:spPr>
          <a:xfrm rot="8054857">
            <a:off x="1037565" y="41552151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67" name="Arc 866">
            <a:extLst>
              <a:ext uri="{FF2B5EF4-FFF2-40B4-BE49-F238E27FC236}">
                <a16:creationId xmlns:a16="http://schemas.microsoft.com/office/drawing/2014/main" id="{A6AE3E4F-5D2C-4089-8FAA-31657BA50B31}"/>
              </a:ext>
            </a:extLst>
          </xdr:cNvPr>
          <xdr:cNvSpPr/>
        </xdr:nvSpPr>
        <xdr:spPr>
          <a:xfrm rot="8054857">
            <a:off x="2980665" y="41566438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296</xdr:row>
      <xdr:rowOff>33339</xdr:rowOff>
    </xdr:from>
    <xdr:to>
      <xdr:col>22</xdr:col>
      <xdr:colOff>4762</xdr:colOff>
      <xdr:row>318</xdr:row>
      <xdr:rowOff>66675</xdr:rowOff>
    </xdr:to>
    <xdr:grpSp>
      <xdr:nvGrpSpPr>
        <xdr:cNvPr id="188" name="Group 187">
          <a:extLst>
            <a:ext uri="{FF2B5EF4-FFF2-40B4-BE49-F238E27FC236}">
              <a16:creationId xmlns:a16="http://schemas.microsoft.com/office/drawing/2014/main" id="{5C990B92-8502-734E-564D-DD0473C771C9}"/>
            </a:ext>
          </a:extLst>
        </xdr:cNvPr>
        <xdr:cNvGrpSpPr/>
      </xdr:nvGrpSpPr>
      <xdr:grpSpPr>
        <a:xfrm>
          <a:off x="400050" y="43210164"/>
          <a:ext cx="3167062" cy="3176586"/>
          <a:chOff x="561975" y="43210164"/>
          <a:chExt cx="3167062" cy="3176586"/>
        </a:xfrm>
      </xdr:grpSpPr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3A78D117-E8C3-49B4-AFEA-EAE7961389CD}"/>
              </a:ext>
            </a:extLst>
          </xdr:cNvPr>
          <xdr:cNvSpPr/>
        </xdr:nvSpPr>
        <xdr:spPr>
          <a:xfrm>
            <a:off x="1138238" y="451818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77" name="Freeform: Shape 676">
            <a:extLst>
              <a:ext uri="{FF2B5EF4-FFF2-40B4-BE49-F238E27FC236}">
                <a16:creationId xmlns:a16="http://schemas.microsoft.com/office/drawing/2014/main" id="{9DEDBB75-57F2-4DA0-B249-E13627A4B827}"/>
              </a:ext>
            </a:extLst>
          </xdr:cNvPr>
          <xdr:cNvSpPr/>
        </xdr:nvSpPr>
        <xdr:spPr>
          <a:xfrm>
            <a:off x="1295401" y="43462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id="{9FDE322A-2607-4EDC-B0A4-ACF236000641}"/>
              </a:ext>
            </a:extLst>
          </xdr:cNvPr>
          <xdr:cNvCxnSpPr/>
        </xdr:nvCxnSpPr>
        <xdr:spPr>
          <a:xfrm>
            <a:off x="1133475" y="451770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76AF77D1-A7B0-494A-8F39-04F578949D76}"/>
              </a:ext>
            </a:extLst>
          </xdr:cNvPr>
          <xdr:cNvSpPr/>
        </xdr:nvSpPr>
        <xdr:spPr>
          <a:xfrm>
            <a:off x="3081338" y="451865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D017BEE7-5326-4EC8-809C-AA5F5C9CA6C7}"/>
              </a:ext>
            </a:extLst>
          </xdr:cNvPr>
          <xdr:cNvCxnSpPr/>
        </xdr:nvCxnSpPr>
        <xdr:spPr>
          <a:xfrm>
            <a:off x="3076575" y="451818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833239EC-102A-42B6-A3E0-9B59D34C77CD}"/>
              </a:ext>
            </a:extLst>
          </xdr:cNvPr>
          <xdr:cNvCxnSpPr/>
        </xdr:nvCxnSpPr>
        <xdr:spPr>
          <a:xfrm>
            <a:off x="1938338" y="43210164"/>
            <a:ext cx="657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Arrow Connector 683">
            <a:extLst>
              <a:ext uri="{FF2B5EF4-FFF2-40B4-BE49-F238E27FC236}">
                <a16:creationId xmlns:a16="http://schemas.microsoft.com/office/drawing/2014/main" id="{FA508F08-2CDC-41AC-8EDA-F4AC4951D0FE}"/>
              </a:ext>
            </a:extLst>
          </xdr:cNvPr>
          <xdr:cNvCxnSpPr/>
        </xdr:nvCxnSpPr>
        <xdr:spPr>
          <a:xfrm>
            <a:off x="1943101" y="43214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Arrow Connector 684">
            <a:extLst>
              <a:ext uri="{FF2B5EF4-FFF2-40B4-BE49-F238E27FC236}">
                <a16:creationId xmlns:a16="http://schemas.microsoft.com/office/drawing/2014/main" id="{C4946B69-9106-40A1-8080-FE277FDEA142}"/>
              </a:ext>
            </a:extLst>
          </xdr:cNvPr>
          <xdr:cNvCxnSpPr/>
        </xdr:nvCxnSpPr>
        <xdr:spPr>
          <a:xfrm>
            <a:off x="2105026" y="43214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Arrow Connector 685">
            <a:extLst>
              <a:ext uri="{FF2B5EF4-FFF2-40B4-BE49-F238E27FC236}">
                <a16:creationId xmlns:a16="http://schemas.microsoft.com/office/drawing/2014/main" id="{CF2A57CA-BBCF-45C4-BFA1-169012EF1AC0}"/>
              </a:ext>
            </a:extLst>
          </xdr:cNvPr>
          <xdr:cNvCxnSpPr/>
        </xdr:nvCxnSpPr>
        <xdr:spPr>
          <a:xfrm>
            <a:off x="2266952" y="43214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Arrow Connector 686">
            <a:extLst>
              <a:ext uri="{FF2B5EF4-FFF2-40B4-BE49-F238E27FC236}">
                <a16:creationId xmlns:a16="http://schemas.microsoft.com/office/drawing/2014/main" id="{C75BE4B7-CD37-4926-9B9A-E79CFF503BFC}"/>
              </a:ext>
            </a:extLst>
          </xdr:cNvPr>
          <xdr:cNvCxnSpPr/>
        </xdr:nvCxnSpPr>
        <xdr:spPr>
          <a:xfrm>
            <a:off x="2428877" y="4321492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Arrow Connector 687">
            <a:extLst>
              <a:ext uri="{FF2B5EF4-FFF2-40B4-BE49-F238E27FC236}">
                <a16:creationId xmlns:a16="http://schemas.microsoft.com/office/drawing/2014/main" id="{E992C081-255B-4E35-A9E0-03C77D7FB91D}"/>
              </a:ext>
            </a:extLst>
          </xdr:cNvPr>
          <xdr:cNvCxnSpPr/>
        </xdr:nvCxnSpPr>
        <xdr:spPr>
          <a:xfrm>
            <a:off x="2590800" y="4321968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id="{E787D710-BF2E-4EA6-9A47-A803776FAB92}"/>
              </a:ext>
            </a:extLst>
          </xdr:cNvPr>
          <xdr:cNvCxnSpPr/>
        </xdr:nvCxnSpPr>
        <xdr:spPr>
          <a:xfrm>
            <a:off x="561975" y="4346257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7E8E76C2-34B2-4A5B-A624-9C35EDB17554}"/>
              </a:ext>
            </a:extLst>
          </xdr:cNvPr>
          <xdr:cNvCxnSpPr/>
        </xdr:nvCxnSpPr>
        <xdr:spPr>
          <a:xfrm>
            <a:off x="647701" y="433816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C4EAD65F-5FF2-4604-AB54-44375335935E}"/>
              </a:ext>
            </a:extLst>
          </xdr:cNvPr>
          <xdr:cNvCxnSpPr/>
        </xdr:nvCxnSpPr>
        <xdr:spPr>
          <a:xfrm flipH="1">
            <a:off x="609600" y="434244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id="{31CA8BF1-B72B-4226-B0CA-022776F9C077}"/>
              </a:ext>
            </a:extLst>
          </xdr:cNvPr>
          <xdr:cNvCxnSpPr/>
        </xdr:nvCxnSpPr>
        <xdr:spPr>
          <a:xfrm>
            <a:off x="561976" y="4517707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E0BA4024-16CD-4562-BA35-497ADC2BABD2}"/>
              </a:ext>
            </a:extLst>
          </xdr:cNvPr>
          <xdr:cNvCxnSpPr/>
        </xdr:nvCxnSpPr>
        <xdr:spPr>
          <a:xfrm flipH="1">
            <a:off x="609601" y="451389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Connector 693">
            <a:extLst>
              <a:ext uri="{FF2B5EF4-FFF2-40B4-BE49-F238E27FC236}">
                <a16:creationId xmlns:a16="http://schemas.microsoft.com/office/drawing/2014/main" id="{1F4EF83A-F1B6-4CA4-94A9-CC4010DF4A01}"/>
              </a:ext>
            </a:extLst>
          </xdr:cNvPr>
          <xdr:cNvCxnSpPr/>
        </xdr:nvCxnSpPr>
        <xdr:spPr>
          <a:xfrm>
            <a:off x="1295400" y="45800963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Connector 694">
            <a:extLst>
              <a:ext uri="{FF2B5EF4-FFF2-40B4-BE49-F238E27FC236}">
                <a16:creationId xmlns:a16="http://schemas.microsoft.com/office/drawing/2014/main" id="{8C4673A5-FAB9-4EF0-B3BE-90FE7F0C33A7}"/>
              </a:ext>
            </a:extLst>
          </xdr:cNvPr>
          <xdr:cNvCxnSpPr/>
        </xdr:nvCxnSpPr>
        <xdr:spPr>
          <a:xfrm>
            <a:off x="1214439" y="463200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4FBFED89-0824-4C64-88A8-CAAF6B17E8ED}"/>
              </a:ext>
            </a:extLst>
          </xdr:cNvPr>
          <xdr:cNvCxnSpPr/>
        </xdr:nvCxnSpPr>
        <xdr:spPr>
          <a:xfrm flipH="1">
            <a:off x="1257302" y="46281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872A9E18-2F82-408F-B92F-CF41F38AAC6A}"/>
              </a:ext>
            </a:extLst>
          </xdr:cNvPr>
          <xdr:cNvCxnSpPr/>
        </xdr:nvCxnSpPr>
        <xdr:spPr>
          <a:xfrm>
            <a:off x="3238503" y="45815250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1F96D1CF-C644-41BD-8284-D3DABE0CB6A3}"/>
              </a:ext>
            </a:extLst>
          </xdr:cNvPr>
          <xdr:cNvCxnSpPr/>
        </xdr:nvCxnSpPr>
        <xdr:spPr>
          <a:xfrm flipH="1">
            <a:off x="3200405" y="46281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Arrow Connector 698">
            <a:extLst>
              <a:ext uri="{FF2B5EF4-FFF2-40B4-BE49-F238E27FC236}">
                <a16:creationId xmlns:a16="http://schemas.microsoft.com/office/drawing/2014/main" id="{9BEC1C92-75F0-488F-8D22-FE7A7CF96173}"/>
              </a:ext>
            </a:extLst>
          </xdr:cNvPr>
          <xdr:cNvCxnSpPr/>
        </xdr:nvCxnSpPr>
        <xdr:spPr>
          <a:xfrm flipV="1">
            <a:off x="1295400" y="453008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Arrow Connector 699">
            <a:extLst>
              <a:ext uri="{FF2B5EF4-FFF2-40B4-BE49-F238E27FC236}">
                <a16:creationId xmlns:a16="http://schemas.microsoft.com/office/drawing/2014/main" id="{1B35DE81-5D8B-43E9-9403-C103DD1608B0}"/>
              </a:ext>
            </a:extLst>
          </xdr:cNvPr>
          <xdr:cNvCxnSpPr/>
        </xdr:nvCxnSpPr>
        <xdr:spPr>
          <a:xfrm flipV="1">
            <a:off x="3238500" y="453008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Arrow Connector 700">
            <a:extLst>
              <a:ext uri="{FF2B5EF4-FFF2-40B4-BE49-F238E27FC236}">
                <a16:creationId xmlns:a16="http://schemas.microsoft.com/office/drawing/2014/main" id="{92E60E74-6B37-4512-A555-A49F222C5934}"/>
              </a:ext>
            </a:extLst>
          </xdr:cNvPr>
          <xdr:cNvCxnSpPr/>
        </xdr:nvCxnSpPr>
        <xdr:spPr>
          <a:xfrm>
            <a:off x="823913" y="4517706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Arrow Connector 701">
            <a:extLst>
              <a:ext uri="{FF2B5EF4-FFF2-40B4-BE49-F238E27FC236}">
                <a16:creationId xmlns:a16="http://schemas.microsoft.com/office/drawing/2014/main" id="{4975BE10-CA77-46DE-AC3F-258DA82C8B4E}"/>
              </a:ext>
            </a:extLst>
          </xdr:cNvPr>
          <xdr:cNvCxnSpPr/>
        </xdr:nvCxnSpPr>
        <xdr:spPr>
          <a:xfrm flipH="1">
            <a:off x="3419474" y="451770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6CF7C668-AE1A-4C15-8355-C9A16C245DD2}"/>
              </a:ext>
            </a:extLst>
          </xdr:cNvPr>
          <xdr:cNvCxnSpPr/>
        </xdr:nvCxnSpPr>
        <xdr:spPr>
          <a:xfrm>
            <a:off x="1214438" y="460343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Connector 710">
            <a:extLst>
              <a:ext uri="{FF2B5EF4-FFF2-40B4-BE49-F238E27FC236}">
                <a16:creationId xmlns:a16="http://schemas.microsoft.com/office/drawing/2014/main" id="{5522DDB2-720C-46EA-BEC4-54DEC3C19A96}"/>
              </a:ext>
            </a:extLst>
          </xdr:cNvPr>
          <xdr:cNvCxnSpPr/>
        </xdr:nvCxnSpPr>
        <xdr:spPr>
          <a:xfrm flipH="1">
            <a:off x="1257301" y="45996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FA4E7615-996F-49CE-9DFA-1B738B461D1B}"/>
              </a:ext>
            </a:extLst>
          </xdr:cNvPr>
          <xdr:cNvCxnSpPr/>
        </xdr:nvCxnSpPr>
        <xdr:spPr>
          <a:xfrm flipH="1">
            <a:off x="3200404" y="45996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Connector 712">
            <a:extLst>
              <a:ext uri="{FF2B5EF4-FFF2-40B4-BE49-F238E27FC236}">
                <a16:creationId xmlns:a16="http://schemas.microsoft.com/office/drawing/2014/main" id="{FD502C21-60ED-4DE3-89D3-89555209C976}"/>
              </a:ext>
            </a:extLst>
          </xdr:cNvPr>
          <xdr:cNvCxnSpPr/>
        </xdr:nvCxnSpPr>
        <xdr:spPr>
          <a:xfrm flipV="1">
            <a:off x="1943101" y="43672125"/>
            <a:ext cx="0" cy="2419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Connector 713">
            <a:extLst>
              <a:ext uri="{FF2B5EF4-FFF2-40B4-BE49-F238E27FC236}">
                <a16:creationId xmlns:a16="http://schemas.microsoft.com/office/drawing/2014/main" id="{253C8DA9-F336-484A-84CB-3AA9F5EBB5A8}"/>
              </a:ext>
            </a:extLst>
          </xdr:cNvPr>
          <xdr:cNvCxnSpPr/>
        </xdr:nvCxnSpPr>
        <xdr:spPr>
          <a:xfrm flipH="1">
            <a:off x="1905002" y="4599622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Connector 714">
            <a:extLst>
              <a:ext uri="{FF2B5EF4-FFF2-40B4-BE49-F238E27FC236}">
                <a16:creationId xmlns:a16="http://schemas.microsoft.com/office/drawing/2014/main" id="{43AA9A7A-3558-40B4-875D-AD2153BDF028}"/>
              </a:ext>
            </a:extLst>
          </xdr:cNvPr>
          <xdr:cNvCxnSpPr/>
        </xdr:nvCxnSpPr>
        <xdr:spPr>
          <a:xfrm flipV="1">
            <a:off x="2590793" y="43686413"/>
            <a:ext cx="0" cy="2405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" name="Straight Connector 715">
            <a:extLst>
              <a:ext uri="{FF2B5EF4-FFF2-40B4-BE49-F238E27FC236}">
                <a16:creationId xmlns:a16="http://schemas.microsoft.com/office/drawing/2014/main" id="{EAA71857-7D7B-4CC1-BA7A-DC280DD7858F}"/>
              </a:ext>
            </a:extLst>
          </xdr:cNvPr>
          <xdr:cNvCxnSpPr/>
        </xdr:nvCxnSpPr>
        <xdr:spPr>
          <a:xfrm flipH="1">
            <a:off x="2552694" y="4599622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8" name="Arc 867">
            <a:extLst>
              <a:ext uri="{FF2B5EF4-FFF2-40B4-BE49-F238E27FC236}">
                <a16:creationId xmlns:a16="http://schemas.microsoft.com/office/drawing/2014/main" id="{1B613DF5-B4CA-4E37-B8BF-DF1548305361}"/>
              </a:ext>
            </a:extLst>
          </xdr:cNvPr>
          <xdr:cNvSpPr/>
        </xdr:nvSpPr>
        <xdr:spPr>
          <a:xfrm rot="8054857">
            <a:off x="1033463" y="44996100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69" name="Arc 868">
            <a:extLst>
              <a:ext uri="{FF2B5EF4-FFF2-40B4-BE49-F238E27FC236}">
                <a16:creationId xmlns:a16="http://schemas.microsoft.com/office/drawing/2014/main" id="{094C6564-0895-4493-8D62-300049FC2396}"/>
              </a:ext>
            </a:extLst>
          </xdr:cNvPr>
          <xdr:cNvSpPr/>
        </xdr:nvSpPr>
        <xdr:spPr>
          <a:xfrm rot="8054857">
            <a:off x="2976563" y="45010387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323</xdr:row>
      <xdr:rowOff>33339</xdr:rowOff>
    </xdr:from>
    <xdr:to>
      <xdr:col>22</xdr:col>
      <xdr:colOff>4762</xdr:colOff>
      <xdr:row>345</xdr:row>
      <xdr:rowOff>66675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3A05203E-55C2-8DEC-C0B1-F38B2C15519B}"/>
            </a:ext>
          </a:extLst>
        </xdr:cNvPr>
        <xdr:cNvGrpSpPr/>
      </xdr:nvGrpSpPr>
      <xdr:grpSpPr>
        <a:xfrm>
          <a:off x="400050" y="47067789"/>
          <a:ext cx="3167062" cy="3176586"/>
          <a:chOff x="561975" y="47067789"/>
          <a:chExt cx="3167062" cy="3176586"/>
        </a:xfrm>
      </xdr:grpSpPr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83D2B69B-F933-488C-81A6-F57F2B6175A5}"/>
              </a:ext>
            </a:extLst>
          </xdr:cNvPr>
          <xdr:cNvSpPr/>
        </xdr:nvSpPr>
        <xdr:spPr>
          <a:xfrm>
            <a:off x="1138238" y="490394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28" name="Freeform: Shape 727">
            <a:extLst>
              <a:ext uri="{FF2B5EF4-FFF2-40B4-BE49-F238E27FC236}">
                <a16:creationId xmlns:a16="http://schemas.microsoft.com/office/drawing/2014/main" id="{31E1EC04-8813-4C19-88C8-F3B537B05E7B}"/>
              </a:ext>
            </a:extLst>
          </xdr:cNvPr>
          <xdr:cNvSpPr/>
        </xdr:nvSpPr>
        <xdr:spPr>
          <a:xfrm>
            <a:off x="1295401" y="4732020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31" name="Straight Connector 730">
            <a:extLst>
              <a:ext uri="{FF2B5EF4-FFF2-40B4-BE49-F238E27FC236}">
                <a16:creationId xmlns:a16="http://schemas.microsoft.com/office/drawing/2014/main" id="{3A692885-1A02-4F33-A94B-C3236463DCAA}"/>
              </a:ext>
            </a:extLst>
          </xdr:cNvPr>
          <xdr:cNvCxnSpPr/>
        </xdr:nvCxnSpPr>
        <xdr:spPr>
          <a:xfrm>
            <a:off x="1133475" y="490346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1BFA3D06-29EC-475E-8960-531997D865FC}"/>
              </a:ext>
            </a:extLst>
          </xdr:cNvPr>
          <xdr:cNvSpPr/>
        </xdr:nvSpPr>
        <xdr:spPr>
          <a:xfrm>
            <a:off x="3081338" y="490442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33" name="Straight Connector 732">
            <a:extLst>
              <a:ext uri="{FF2B5EF4-FFF2-40B4-BE49-F238E27FC236}">
                <a16:creationId xmlns:a16="http://schemas.microsoft.com/office/drawing/2014/main" id="{007F7792-7290-49CD-9D41-3A01554F60E4}"/>
              </a:ext>
            </a:extLst>
          </xdr:cNvPr>
          <xdr:cNvCxnSpPr/>
        </xdr:nvCxnSpPr>
        <xdr:spPr>
          <a:xfrm>
            <a:off x="3076575" y="490394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Arrow Connector 733">
            <a:extLst>
              <a:ext uri="{FF2B5EF4-FFF2-40B4-BE49-F238E27FC236}">
                <a16:creationId xmlns:a16="http://schemas.microsoft.com/office/drawing/2014/main" id="{C1443F9A-6CC0-4926-A23C-481E879AF1AB}"/>
              </a:ext>
            </a:extLst>
          </xdr:cNvPr>
          <xdr:cNvCxnSpPr/>
        </xdr:nvCxnSpPr>
        <xdr:spPr>
          <a:xfrm>
            <a:off x="1295401" y="470773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Connector 734">
            <a:extLst>
              <a:ext uri="{FF2B5EF4-FFF2-40B4-BE49-F238E27FC236}">
                <a16:creationId xmlns:a16="http://schemas.microsoft.com/office/drawing/2014/main" id="{9ECB31A3-9979-4678-9335-8860FFBAB139}"/>
              </a:ext>
            </a:extLst>
          </xdr:cNvPr>
          <xdr:cNvCxnSpPr/>
        </xdr:nvCxnSpPr>
        <xdr:spPr>
          <a:xfrm>
            <a:off x="1290639" y="47067789"/>
            <a:ext cx="114299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C6CB262E-928C-4BC0-8E04-DB87192DD1B2}"/>
              </a:ext>
            </a:extLst>
          </xdr:cNvPr>
          <xdr:cNvCxnSpPr/>
        </xdr:nvCxnSpPr>
        <xdr:spPr>
          <a:xfrm>
            <a:off x="1457326" y="470773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Arrow Connector 736">
            <a:extLst>
              <a:ext uri="{FF2B5EF4-FFF2-40B4-BE49-F238E27FC236}">
                <a16:creationId xmlns:a16="http://schemas.microsoft.com/office/drawing/2014/main" id="{DA6509D9-604C-4EB3-A5C6-C7C118171487}"/>
              </a:ext>
            </a:extLst>
          </xdr:cNvPr>
          <xdr:cNvCxnSpPr/>
        </xdr:nvCxnSpPr>
        <xdr:spPr>
          <a:xfrm>
            <a:off x="1619252" y="470773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D6EEF7EF-F315-4615-A18E-B301FB8869AB}"/>
              </a:ext>
            </a:extLst>
          </xdr:cNvPr>
          <xdr:cNvCxnSpPr/>
        </xdr:nvCxnSpPr>
        <xdr:spPr>
          <a:xfrm>
            <a:off x="1781177" y="470773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9E73BD93-75B0-4714-8407-9DC6FD5BB5F1}"/>
              </a:ext>
            </a:extLst>
          </xdr:cNvPr>
          <xdr:cNvCxnSpPr/>
        </xdr:nvCxnSpPr>
        <xdr:spPr>
          <a:xfrm>
            <a:off x="1943101" y="470725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56CC2124-6C5E-43F4-B7D6-F51ACBE2103E}"/>
              </a:ext>
            </a:extLst>
          </xdr:cNvPr>
          <xdr:cNvCxnSpPr/>
        </xdr:nvCxnSpPr>
        <xdr:spPr>
          <a:xfrm>
            <a:off x="2105026" y="470725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43BBCF8C-6181-48E8-AEF8-0A22A75BC0E4}"/>
              </a:ext>
            </a:extLst>
          </xdr:cNvPr>
          <xdr:cNvCxnSpPr/>
        </xdr:nvCxnSpPr>
        <xdr:spPr>
          <a:xfrm>
            <a:off x="2266952" y="470725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A508480A-3556-48EE-BFE4-4673BFED6205}"/>
              </a:ext>
            </a:extLst>
          </xdr:cNvPr>
          <xdr:cNvCxnSpPr/>
        </xdr:nvCxnSpPr>
        <xdr:spPr>
          <a:xfrm>
            <a:off x="2428877" y="470725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Connector 742">
            <a:extLst>
              <a:ext uri="{FF2B5EF4-FFF2-40B4-BE49-F238E27FC236}">
                <a16:creationId xmlns:a16="http://schemas.microsoft.com/office/drawing/2014/main" id="{131A0D70-84C6-4CB3-85C7-068F953E8B88}"/>
              </a:ext>
            </a:extLst>
          </xdr:cNvPr>
          <xdr:cNvCxnSpPr/>
        </xdr:nvCxnSpPr>
        <xdr:spPr>
          <a:xfrm>
            <a:off x="561975" y="4732020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Connector 743">
            <a:extLst>
              <a:ext uri="{FF2B5EF4-FFF2-40B4-BE49-F238E27FC236}">
                <a16:creationId xmlns:a16="http://schemas.microsoft.com/office/drawing/2014/main" id="{3792E4C8-D101-41F0-A4E1-0F62A27AA163}"/>
              </a:ext>
            </a:extLst>
          </xdr:cNvPr>
          <xdr:cNvCxnSpPr/>
        </xdr:nvCxnSpPr>
        <xdr:spPr>
          <a:xfrm>
            <a:off x="647701" y="472392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Connector 744">
            <a:extLst>
              <a:ext uri="{FF2B5EF4-FFF2-40B4-BE49-F238E27FC236}">
                <a16:creationId xmlns:a16="http://schemas.microsoft.com/office/drawing/2014/main" id="{C9E9D0A5-6FAB-4663-8F6C-926FE429C017}"/>
              </a:ext>
            </a:extLst>
          </xdr:cNvPr>
          <xdr:cNvCxnSpPr/>
        </xdr:nvCxnSpPr>
        <xdr:spPr>
          <a:xfrm flipH="1">
            <a:off x="609600" y="472820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Connector 745">
            <a:extLst>
              <a:ext uri="{FF2B5EF4-FFF2-40B4-BE49-F238E27FC236}">
                <a16:creationId xmlns:a16="http://schemas.microsoft.com/office/drawing/2014/main" id="{907D7DF4-D65E-4B59-8F6F-B7BA1ABBB43B}"/>
              </a:ext>
            </a:extLst>
          </xdr:cNvPr>
          <xdr:cNvCxnSpPr/>
        </xdr:nvCxnSpPr>
        <xdr:spPr>
          <a:xfrm>
            <a:off x="561976" y="490347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Connector 746">
            <a:extLst>
              <a:ext uri="{FF2B5EF4-FFF2-40B4-BE49-F238E27FC236}">
                <a16:creationId xmlns:a16="http://schemas.microsoft.com/office/drawing/2014/main" id="{F7EE8A8C-8920-4D1B-ABE0-EB05599E28D3}"/>
              </a:ext>
            </a:extLst>
          </xdr:cNvPr>
          <xdr:cNvCxnSpPr/>
        </xdr:nvCxnSpPr>
        <xdr:spPr>
          <a:xfrm flipH="1">
            <a:off x="609601" y="489966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Connector 747">
            <a:extLst>
              <a:ext uri="{FF2B5EF4-FFF2-40B4-BE49-F238E27FC236}">
                <a16:creationId xmlns:a16="http://schemas.microsoft.com/office/drawing/2014/main" id="{11DF3101-FE12-46E7-B30B-58A2FF35A87F}"/>
              </a:ext>
            </a:extLst>
          </xdr:cNvPr>
          <xdr:cNvCxnSpPr/>
        </xdr:nvCxnSpPr>
        <xdr:spPr>
          <a:xfrm>
            <a:off x="1295400" y="49658588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Connector 748">
            <a:extLst>
              <a:ext uri="{FF2B5EF4-FFF2-40B4-BE49-F238E27FC236}">
                <a16:creationId xmlns:a16="http://schemas.microsoft.com/office/drawing/2014/main" id="{D95B1E5B-61E8-44FA-A06C-FB620DE8B187}"/>
              </a:ext>
            </a:extLst>
          </xdr:cNvPr>
          <xdr:cNvCxnSpPr/>
        </xdr:nvCxnSpPr>
        <xdr:spPr>
          <a:xfrm>
            <a:off x="1214439" y="501777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Connector 749">
            <a:extLst>
              <a:ext uri="{FF2B5EF4-FFF2-40B4-BE49-F238E27FC236}">
                <a16:creationId xmlns:a16="http://schemas.microsoft.com/office/drawing/2014/main" id="{D4153EB1-6FC4-4C62-B266-23DBD5CC2DB0}"/>
              </a:ext>
            </a:extLst>
          </xdr:cNvPr>
          <xdr:cNvCxnSpPr/>
        </xdr:nvCxnSpPr>
        <xdr:spPr>
          <a:xfrm flipH="1">
            <a:off x="1257302" y="50139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Connector 750">
            <a:extLst>
              <a:ext uri="{FF2B5EF4-FFF2-40B4-BE49-F238E27FC236}">
                <a16:creationId xmlns:a16="http://schemas.microsoft.com/office/drawing/2014/main" id="{1C03D663-FB2A-4613-A759-9CF0D792009E}"/>
              </a:ext>
            </a:extLst>
          </xdr:cNvPr>
          <xdr:cNvCxnSpPr/>
        </xdr:nvCxnSpPr>
        <xdr:spPr>
          <a:xfrm>
            <a:off x="3238503" y="49672875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Connector 751">
            <a:extLst>
              <a:ext uri="{FF2B5EF4-FFF2-40B4-BE49-F238E27FC236}">
                <a16:creationId xmlns:a16="http://schemas.microsoft.com/office/drawing/2014/main" id="{987A6AD8-8E62-4D4B-8ACA-0CEC2BD0C01E}"/>
              </a:ext>
            </a:extLst>
          </xdr:cNvPr>
          <xdr:cNvCxnSpPr/>
        </xdr:nvCxnSpPr>
        <xdr:spPr>
          <a:xfrm flipH="1">
            <a:off x="3200405" y="50139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Arrow Connector 752">
            <a:extLst>
              <a:ext uri="{FF2B5EF4-FFF2-40B4-BE49-F238E27FC236}">
                <a16:creationId xmlns:a16="http://schemas.microsoft.com/office/drawing/2014/main" id="{5BF198C9-18E1-495B-B9C2-4F5DE253E40D}"/>
              </a:ext>
            </a:extLst>
          </xdr:cNvPr>
          <xdr:cNvCxnSpPr/>
        </xdr:nvCxnSpPr>
        <xdr:spPr>
          <a:xfrm flipV="1">
            <a:off x="1295400" y="491585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Arrow Connector 753">
            <a:extLst>
              <a:ext uri="{FF2B5EF4-FFF2-40B4-BE49-F238E27FC236}">
                <a16:creationId xmlns:a16="http://schemas.microsoft.com/office/drawing/2014/main" id="{29288990-C5DF-48F7-97A0-54204DCA601E}"/>
              </a:ext>
            </a:extLst>
          </xdr:cNvPr>
          <xdr:cNvCxnSpPr/>
        </xdr:nvCxnSpPr>
        <xdr:spPr>
          <a:xfrm flipV="1">
            <a:off x="3238500" y="491585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Arrow Connector 754">
            <a:extLst>
              <a:ext uri="{FF2B5EF4-FFF2-40B4-BE49-F238E27FC236}">
                <a16:creationId xmlns:a16="http://schemas.microsoft.com/office/drawing/2014/main" id="{331F4E51-F621-4378-9262-4875CD0C8754}"/>
              </a:ext>
            </a:extLst>
          </xdr:cNvPr>
          <xdr:cNvCxnSpPr/>
        </xdr:nvCxnSpPr>
        <xdr:spPr>
          <a:xfrm>
            <a:off x="823913" y="490346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Arrow Connector 755">
            <a:extLst>
              <a:ext uri="{FF2B5EF4-FFF2-40B4-BE49-F238E27FC236}">
                <a16:creationId xmlns:a16="http://schemas.microsoft.com/office/drawing/2014/main" id="{47D8D54E-D557-4185-8895-C4D449140380}"/>
              </a:ext>
            </a:extLst>
          </xdr:cNvPr>
          <xdr:cNvCxnSpPr/>
        </xdr:nvCxnSpPr>
        <xdr:spPr>
          <a:xfrm flipH="1">
            <a:off x="3419474" y="490347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Connector 763">
            <a:extLst>
              <a:ext uri="{FF2B5EF4-FFF2-40B4-BE49-F238E27FC236}">
                <a16:creationId xmlns:a16="http://schemas.microsoft.com/office/drawing/2014/main" id="{AD357F37-A108-447E-AFC0-39F79FC2444B}"/>
              </a:ext>
            </a:extLst>
          </xdr:cNvPr>
          <xdr:cNvCxnSpPr/>
        </xdr:nvCxnSpPr>
        <xdr:spPr>
          <a:xfrm flipH="1">
            <a:off x="1257300" y="498538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Connector 764">
            <a:extLst>
              <a:ext uri="{FF2B5EF4-FFF2-40B4-BE49-F238E27FC236}">
                <a16:creationId xmlns:a16="http://schemas.microsoft.com/office/drawing/2014/main" id="{D5CEE4D5-88C5-4A19-8296-3B58E53F158F}"/>
              </a:ext>
            </a:extLst>
          </xdr:cNvPr>
          <xdr:cNvCxnSpPr/>
        </xdr:nvCxnSpPr>
        <xdr:spPr>
          <a:xfrm flipH="1">
            <a:off x="3200403" y="498538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Connector 765">
            <a:extLst>
              <a:ext uri="{FF2B5EF4-FFF2-40B4-BE49-F238E27FC236}">
                <a16:creationId xmlns:a16="http://schemas.microsoft.com/office/drawing/2014/main" id="{4F36A618-A193-4F1A-824B-C4A72402E1F2}"/>
              </a:ext>
            </a:extLst>
          </xdr:cNvPr>
          <xdr:cNvCxnSpPr/>
        </xdr:nvCxnSpPr>
        <xdr:spPr>
          <a:xfrm flipV="1">
            <a:off x="2428882" y="47548800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Connector 766">
            <a:extLst>
              <a:ext uri="{FF2B5EF4-FFF2-40B4-BE49-F238E27FC236}">
                <a16:creationId xmlns:a16="http://schemas.microsoft.com/office/drawing/2014/main" id="{54EB484B-8D47-4BEA-B35F-23CB4AA29560}"/>
              </a:ext>
            </a:extLst>
          </xdr:cNvPr>
          <xdr:cNvCxnSpPr/>
        </xdr:nvCxnSpPr>
        <xdr:spPr>
          <a:xfrm flipH="1">
            <a:off x="2390783" y="4985385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Connector 767">
            <a:extLst>
              <a:ext uri="{FF2B5EF4-FFF2-40B4-BE49-F238E27FC236}">
                <a16:creationId xmlns:a16="http://schemas.microsoft.com/office/drawing/2014/main" id="{9D53D441-EC89-4AC9-90DE-58FD73D4D90D}"/>
              </a:ext>
            </a:extLst>
          </xdr:cNvPr>
          <xdr:cNvCxnSpPr/>
        </xdr:nvCxnSpPr>
        <xdr:spPr>
          <a:xfrm>
            <a:off x="1223963" y="49891950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0" name="Arc 869">
            <a:extLst>
              <a:ext uri="{FF2B5EF4-FFF2-40B4-BE49-F238E27FC236}">
                <a16:creationId xmlns:a16="http://schemas.microsoft.com/office/drawing/2014/main" id="{33BE4067-5E71-4458-9CB0-C674B0FD6930}"/>
              </a:ext>
            </a:extLst>
          </xdr:cNvPr>
          <xdr:cNvSpPr/>
        </xdr:nvSpPr>
        <xdr:spPr>
          <a:xfrm rot="8054857">
            <a:off x="1023938" y="48858488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1" name="Arc 870">
            <a:extLst>
              <a:ext uri="{FF2B5EF4-FFF2-40B4-BE49-F238E27FC236}">
                <a16:creationId xmlns:a16="http://schemas.microsoft.com/office/drawing/2014/main" id="{AE1B16A5-B640-469A-A515-45FC96420255}"/>
              </a:ext>
            </a:extLst>
          </xdr:cNvPr>
          <xdr:cNvSpPr/>
        </xdr:nvSpPr>
        <xdr:spPr>
          <a:xfrm rot="8054857">
            <a:off x="2967038" y="48872775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351</xdr:row>
      <xdr:rowOff>61911</xdr:rowOff>
    </xdr:from>
    <xdr:to>
      <xdr:col>22</xdr:col>
      <xdr:colOff>4762</xdr:colOff>
      <xdr:row>370</xdr:row>
      <xdr:rowOff>66675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0241D8E8-F006-B75F-8AC4-F76600785116}"/>
            </a:ext>
          </a:extLst>
        </xdr:cNvPr>
        <xdr:cNvGrpSpPr/>
      </xdr:nvGrpSpPr>
      <xdr:grpSpPr>
        <a:xfrm>
          <a:off x="400050" y="51096861"/>
          <a:ext cx="3167062" cy="2719389"/>
          <a:chOff x="561975" y="51096861"/>
          <a:chExt cx="3167062" cy="2719389"/>
        </a:xfrm>
      </xdr:grpSpPr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5EFF0197-C851-4DC8-8C51-F6602800463C}"/>
              </a:ext>
            </a:extLst>
          </xdr:cNvPr>
          <xdr:cNvSpPr/>
        </xdr:nvSpPr>
        <xdr:spPr>
          <a:xfrm>
            <a:off x="1138238" y="528970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76" name="Freeform: Shape 775">
            <a:extLst>
              <a:ext uri="{FF2B5EF4-FFF2-40B4-BE49-F238E27FC236}">
                <a16:creationId xmlns:a16="http://schemas.microsoft.com/office/drawing/2014/main" id="{94B8C755-626D-4063-8AB2-380AEE0AD25E}"/>
              </a:ext>
            </a:extLst>
          </xdr:cNvPr>
          <xdr:cNvSpPr/>
        </xdr:nvSpPr>
        <xdr:spPr>
          <a:xfrm>
            <a:off x="1295401" y="51177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79" name="Straight Connector 778">
            <a:extLst>
              <a:ext uri="{FF2B5EF4-FFF2-40B4-BE49-F238E27FC236}">
                <a16:creationId xmlns:a16="http://schemas.microsoft.com/office/drawing/2014/main" id="{2C3DBC40-E8B2-4AC9-A686-D7C37C589764}"/>
              </a:ext>
            </a:extLst>
          </xdr:cNvPr>
          <xdr:cNvCxnSpPr/>
        </xdr:nvCxnSpPr>
        <xdr:spPr>
          <a:xfrm>
            <a:off x="1133475" y="528923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9E793E2B-29F1-4D74-AB9C-CBE6AC691CD5}"/>
              </a:ext>
            </a:extLst>
          </xdr:cNvPr>
          <xdr:cNvSpPr/>
        </xdr:nvSpPr>
        <xdr:spPr>
          <a:xfrm>
            <a:off x="3081338" y="529018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1" name="Straight Connector 780">
            <a:extLst>
              <a:ext uri="{FF2B5EF4-FFF2-40B4-BE49-F238E27FC236}">
                <a16:creationId xmlns:a16="http://schemas.microsoft.com/office/drawing/2014/main" id="{EACA90F3-87FB-4CAD-A1B6-E4167AEC00F2}"/>
              </a:ext>
            </a:extLst>
          </xdr:cNvPr>
          <xdr:cNvCxnSpPr/>
        </xdr:nvCxnSpPr>
        <xdr:spPr>
          <a:xfrm>
            <a:off x="3076575" y="528970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558903E9-3EB2-421A-975D-7269EF9D71CC}"/>
              </a:ext>
            </a:extLst>
          </xdr:cNvPr>
          <xdr:cNvCxnSpPr/>
        </xdr:nvCxnSpPr>
        <xdr:spPr>
          <a:xfrm>
            <a:off x="576261" y="51177825"/>
            <a:ext cx="3429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5D42F353-6521-4589-8B0C-FE799884326F}"/>
              </a:ext>
            </a:extLst>
          </xdr:cNvPr>
          <xdr:cNvCxnSpPr/>
        </xdr:nvCxnSpPr>
        <xdr:spPr>
          <a:xfrm>
            <a:off x="647701" y="510968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08D86772-C50D-4376-B2C0-AA98FCBBDF0F}"/>
              </a:ext>
            </a:extLst>
          </xdr:cNvPr>
          <xdr:cNvCxnSpPr/>
        </xdr:nvCxnSpPr>
        <xdr:spPr>
          <a:xfrm flipH="1">
            <a:off x="609600" y="511397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670FBB18-C88B-4C4B-B871-0D82B2118C98}"/>
              </a:ext>
            </a:extLst>
          </xdr:cNvPr>
          <xdr:cNvCxnSpPr/>
        </xdr:nvCxnSpPr>
        <xdr:spPr>
          <a:xfrm>
            <a:off x="561975" y="52892325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2E6D6A06-950B-4C7F-8205-2C4E184574B9}"/>
              </a:ext>
            </a:extLst>
          </xdr:cNvPr>
          <xdr:cNvCxnSpPr/>
        </xdr:nvCxnSpPr>
        <xdr:spPr>
          <a:xfrm flipH="1">
            <a:off x="609600" y="5285421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23DE4BC1-400F-4671-B91C-186D6EC81BDA}"/>
              </a:ext>
            </a:extLst>
          </xdr:cNvPr>
          <xdr:cNvCxnSpPr/>
        </xdr:nvCxnSpPr>
        <xdr:spPr>
          <a:xfrm>
            <a:off x="1295400" y="535162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1EC9B924-B7CD-42C7-99F9-9223AFB25D1D}"/>
              </a:ext>
            </a:extLst>
          </xdr:cNvPr>
          <xdr:cNvCxnSpPr/>
        </xdr:nvCxnSpPr>
        <xdr:spPr>
          <a:xfrm>
            <a:off x="1214439" y="537495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4E993A17-A3E5-4A60-96DE-34DC07D89304}"/>
              </a:ext>
            </a:extLst>
          </xdr:cNvPr>
          <xdr:cNvCxnSpPr/>
        </xdr:nvCxnSpPr>
        <xdr:spPr>
          <a:xfrm flipH="1">
            <a:off x="1257302" y="537114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Connector 789">
            <a:extLst>
              <a:ext uri="{FF2B5EF4-FFF2-40B4-BE49-F238E27FC236}">
                <a16:creationId xmlns:a16="http://schemas.microsoft.com/office/drawing/2014/main" id="{7741413F-13AA-4518-AF04-A603205FD302}"/>
              </a:ext>
            </a:extLst>
          </xdr:cNvPr>
          <xdr:cNvCxnSpPr/>
        </xdr:nvCxnSpPr>
        <xdr:spPr>
          <a:xfrm>
            <a:off x="3238503" y="535305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Connector 790">
            <a:extLst>
              <a:ext uri="{FF2B5EF4-FFF2-40B4-BE49-F238E27FC236}">
                <a16:creationId xmlns:a16="http://schemas.microsoft.com/office/drawing/2014/main" id="{62D471B2-36B2-45E2-B34F-7F2A91F3F9E4}"/>
              </a:ext>
            </a:extLst>
          </xdr:cNvPr>
          <xdr:cNvCxnSpPr/>
        </xdr:nvCxnSpPr>
        <xdr:spPr>
          <a:xfrm flipH="1">
            <a:off x="3200405" y="537114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Arrow Connector 791">
            <a:extLst>
              <a:ext uri="{FF2B5EF4-FFF2-40B4-BE49-F238E27FC236}">
                <a16:creationId xmlns:a16="http://schemas.microsoft.com/office/drawing/2014/main" id="{304A8810-6AB0-4324-A245-2B6D597F9D55}"/>
              </a:ext>
            </a:extLst>
          </xdr:cNvPr>
          <xdr:cNvCxnSpPr/>
        </xdr:nvCxnSpPr>
        <xdr:spPr>
          <a:xfrm flipV="1">
            <a:off x="1295400" y="5301614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Arrow Connector 792">
            <a:extLst>
              <a:ext uri="{FF2B5EF4-FFF2-40B4-BE49-F238E27FC236}">
                <a16:creationId xmlns:a16="http://schemas.microsoft.com/office/drawing/2014/main" id="{C40B3850-49D3-452C-8F37-AF4ACBF70D3A}"/>
              </a:ext>
            </a:extLst>
          </xdr:cNvPr>
          <xdr:cNvCxnSpPr/>
        </xdr:nvCxnSpPr>
        <xdr:spPr>
          <a:xfrm flipV="1">
            <a:off x="3238500" y="530161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Arrow Connector 793">
            <a:extLst>
              <a:ext uri="{FF2B5EF4-FFF2-40B4-BE49-F238E27FC236}">
                <a16:creationId xmlns:a16="http://schemas.microsoft.com/office/drawing/2014/main" id="{AC0E51AB-869D-4DA3-B4E1-10096C7BB9CF}"/>
              </a:ext>
            </a:extLst>
          </xdr:cNvPr>
          <xdr:cNvCxnSpPr/>
        </xdr:nvCxnSpPr>
        <xdr:spPr>
          <a:xfrm>
            <a:off x="1490663" y="52897080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Arrow Connector 794">
            <a:extLst>
              <a:ext uri="{FF2B5EF4-FFF2-40B4-BE49-F238E27FC236}">
                <a16:creationId xmlns:a16="http://schemas.microsoft.com/office/drawing/2014/main" id="{6FC9A070-2C87-4A02-9E09-1EA3F2CC3D57}"/>
              </a:ext>
            </a:extLst>
          </xdr:cNvPr>
          <xdr:cNvCxnSpPr/>
        </xdr:nvCxnSpPr>
        <xdr:spPr>
          <a:xfrm flipH="1">
            <a:off x="3419474" y="528923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Connector 797">
            <a:extLst>
              <a:ext uri="{FF2B5EF4-FFF2-40B4-BE49-F238E27FC236}">
                <a16:creationId xmlns:a16="http://schemas.microsoft.com/office/drawing/2014/main" id="{873071FE-91E9-414D-A483-C9CD03752A98}"/>
              </a:ext>
            </a:extLst>
          </xdr:cNvPr>
          <xdr:cNvCxnSpPr/>
        </xdr:nvCxnSpPr>
        <xdr:spPr>
          <a:xfrm>
            <a:off x="1176343" y="51177826"/>
            <a:ext cx="0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Arrow Connector 798">
            <a:extLst>
              <a:ext uri="{FF2B5EF4-FFF2-40B4-BE49-F238E27FC236}">
                <a16:creationId xmlns:a16="http://schemas.microsoft.com/office/drawing/2014/main" id="{7C23B2A2-A572-4052-8053-C17BC382966D}"/>
              </a:ext>
            </a:extLst>
          </xdr:cNvPr>
          <xdr:cNvCxnSpPr/>
        </xdr:nvCxnSpPr>
        <xdr:spPr>
          <a:xfrm>
            <a:off x="976317" y="51177826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Arrow Connector 799">
            <a:extLst>
              <a:ext uri="{FF2B5EF4-FFF2-40B4-BE49-F238E27FC236}">
                <a16:creationId xmlns:a16="http://schemas.microsoft.com/office/drawing/2014/main" id="{CD2C3A6E-BF6A-48EB-8FA6-C8848A3407B1}"/>
              </a:ext>
            </a:extLst>
          </xdr:cNvPr>
          <xdr:cNvCxnSpPr/>
        </xdr:nvCxnSpPr>
        <xdr:spPr>
          <a:xfrm>
            <a:off x="971554" y="5132070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Arrow Connector 800">
            <a:extLst>
              <a:ext uri="{FF2B5EF4-FFF2-40B4-BE49-F238E27FC236}">
                <a16:creationId xmlns:a16="http://schemas.microsoft.com/office/drawing/2014/main" id="{C27A1465-46D7-4ECD-90A4-5BF4D5004162}"/>
              </a:ext>
            </a:extLst>
          </xdr:cNvPr>
          <xdr:cNvCxnSpPr/>
        </xdr:nvCxnSpPr>
        <xdr:spPr>
          <a:xfrm>
            <a:off x="971548" y="51463579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Arrow Connector 801">
            <a:extLst>
              <a:ext uri="{FF2B5EF4-FFF2-40B4-BE49-F238E27FC236}">
                <a16:creationId xmlns:a16="http://schemas.microsoft.com/office/drawing/2014/main" id="{4DB45A4A-CD1E-4F83-94DC-C47EFCC48EB0}"/>
              </a:ext>
            </a:extLst>
          </xdr:cNvPr>
          <xdr:cNvCxnSpPr/>
        </xdr:nvCxnSpPr>
        <xdr:spPr>
          <a:xfrm>
            <a:off x="966785" y="51606454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Arrow Connector 802">
            <a:extLst>
              <a:ext uri="{FF2B5EF4-FFF2-40B4-BE49-F238E27FC236}">
                <a16:creationId xmlns:a16="http://schemas.microsoft.com/office/drawing/2014/main" id="{31F95948-7BE6-48E2-B6C9-111DC17C2AE9}"/>
              </a:ext>
            </a:extLst>
          </xdr:cNvPr>
          <xdr:cNvCxnSpPr/>
        </xdr:nvCxnSpPr>
        <xdr:spPr>
          <a:xfrm>
            <a:off x="976312" y="51749333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Arrow Connector 803">
            <a:extLst>
              <a:ext uri="{FF2B5EF4-FFF2-40B4-BE49-F238E27FC236}">
                <a16:creationId xmlns:a16="http://schemas.microsoft.com/office/drawing/2014/main" id="{BEFE79A3-FDBA-49BA-8241-50A6F406393B}"/>
              </a:ext>
            </a:extLst>
          </xdr:cNvPr>
          <xdr:cNvCxnSpPr/>
        </xdr:nvCxnSpPr>
        <xdr:spPr>
          <a:xfrm>
            <a:off x="971549" y="51892208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Straight Arrow Connector 804">
            <a:extLst>
              <a:ext uri="{FF2B5EF4-FFF2-40B4-BE49-F238E27FC236}">
                <a16:creationId xmlns:a16="http://schemas.microsoft.com/office/drawing/2014/main" id="{839AD206-49A1-4237-AB7B-9B9EE8063487}"/>
              </a:ext>
            </a:extLst>
          </xdr:cNvPr>
          <xdr:cNvCxnSpPr/>
        </xdr:nvCxnSpPr>
        <xdr:spPr>
          <a:xfrm>
            <a:off x="971543" y="52035086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Arrow Connector 805">
            <a:extLst>
              <a:ext uri="{FF2B5EF4-FFF2-40B4-BE49-F238E27FC236}">
                <a16:creationId xmlns:a16="http://schemas.microsoft.com/office/drawing/2014/main" id="{BB6D31C2-3600-4AC9-AC03-1CB331A1B8CC}"/>
              </a:ext>
            </a:extLst>
          </xdr:cNvPr>
          <xdr:cNvCxnSpPr/>
        </xdr:nvCxnSpPr>
        <xdr:spPr>
          <a:xfrm>
            <a:off x="966780" y="5217796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Arrow Connector 806">
            <a:extLst>
              <a:ext uri="{FF2B5EF4-FFF2-40B4-BE49-F238E27FC236}">
                <a16:creationId xmlns:a16="http://schemas.microsoft.com/office/drawing/2014/main" id="{E85FA397-1294-4011-A895-34C5C6217A5A}"/>
              </a:ext>
            </a:extLst>
          </xdr:cNvPr>
          <xdr:cNvCxnSpPr/>
        </xdr:nvCxnSpPr>
        <xdr:spPr>
          <a:xfrm>
            <a:off x="976304" y="52320843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Arrow Connector 807">
            <a:extLst>
              <a:ext uri="{FF2B5EF4-FFF2-40B4-BE49-F238E27FC236}">
                <a16:creationId xmlns:a16="http://schemas.microsoft.com/office/drawing/2014/main" id="{25A2A4BA-7571-402F-A5C0-83036A0E6FA9}"/>
              </a:ext>
            </a:extLst>
          </xdr:cNvPr>
          <xdr:cNvCxnSpPr/>
        </xdr:nvCxnSpPr>
        <xdr:spPr>
          <a:xfrm>
            <a:off x="971541" y="52463718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Arrow Connector 808">
            <a:extLst>
              <a:ext uri="{FF2B5EF4-FFF2-40B4-BE49-F238E27FC236}">
                <a16:creationId xmlns:a16="http://schemas.microsoft.com/office/drawing/2014/main" id="{5A2714A6-3BE3-4854-A8D1-0D1BDEAF3CA7}"/>
              </a:ext>
            </a:extLst>
          </xdr:cNvPr>
          <xdr:cNvCxnSpPr/>
        </xdr:nvCxnSpPr>
        <xdr:spPr>
          <a:xfrm>
            <a:off x="971535" y="52606596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Arrow Connector 809">
            <a:extLst>
              <a:ext uri="{FF2B5EF4-FFF2-40B4-BE49-F238E27FC236}">
                <a16:creationId xmlns:a16="http://schemas.microsoft.com/office/drawing/2014/main" id="{8BC39363-3EE0-44A7-879F-E2A36228FA88}"/>
              </a:ext>
            </a:extLst>
          </xdr:cNvPr>
          <xdr:cNvCxnSpPr/>
        </xdr:nvCxnSpPr>
        <xdr:spPr>
          <a:xfrm>
            <a:off x="966772" y="5274947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Connector 810">
            <a:extLst>
              <a:ext uri="{FF2B5EF4-FFF2-40B4-BE49-F238E27FC236}">
                <a16:creationId xmlns:a16="http://schemas.microsoft.com/office/drawing/2014/main" id="{365FBB7F-C5FF-4489-A9A3-04930B6E5E98}"/>
              </a:ext>
            </a:extLst>
          </xdr:cNvPr>
          <xdr:cNvCxnSpPr/>
        </xdr:nvCxnSpPr>
        <xdr:spPr>
          <a:xfrm>
            <a:off x="971555" y="51177826"/>
            <a:ext cx="0" cy="1709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Arrow Connector 813">
            <a:extLst>
              <a:ext uri="{FF2B5EF4-FFF2-40B4-BE49-F238E27FC236}">
                <a16:creationId xmlns:a16="http://schemas.microsoft.com/office/drawing/2014/main" id="{0BA29340-0B52-4283-8FA1-94D27856A06D}"/>
              </a:ext>
            </a:extLst>
          </xdr:cNvPr>
          <xdr:cNvCxnSpPr/>
        </xdr:nvCxnSpPr>
        <xdr:spPr>
          <a:xfrm>
            <a:off x="971534" y="52892348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2" name="Arc 871">
            <a:extLst>
              <a:ext uri="{FF2B5EF4-FFF2-40B4-BE49-F238E27FC236}">
                <a16:creationId xmlns:a16="http://schemas.microsoft.com/office/drawing/2014/main" id="{0E06BF13-42B3-414E-972D-57C5F1604491}"/>
              </a:ext>
            </a:extLst>
          </xdr:cNvPr>
          <xdr:cNvSpPr/>
        </xdr:nvSpPr>
        <xdr:spPr>
          <a:xfrm rot="8054857">
            <a:off x="1033463" y="52668490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3" name="Arc 872">
            <a:extLst>
              <a:ext uri="{FF2B5EF4-FFF2-40B4-BE49-F238E27FC236}">
                <a16:creationId xmlns:a16="http://schemas.microsoft.com/office/drawing/2014/main" id="{D9792415-AF5A-4E33-A8A4-D83436E7FF5F}"/>
              </a:ext>
            </a:extLst>
          </xdr:cNvPr>
          <xdr:cNvSpPr/>
        </xdr:nvSpPr>
        <xdr:spPr>
          <a:xfrm rot="8054857">
            <a:off x="2971799" y="52725637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375</xdr:row>
      <xdr:rowOff>61911</xdr:rowOff>
    </xdr:from>
    <xdr:to>
      <xdr:col>22</xdr:col>
      <xdr:colOff>4762</xdr:colOff>
      <xdr:row>394</xdr:row>
      <xdr:rowOff>66675</xdr:rowOff>
    </xdr:to>
    <xdr:grpSp>
      <xdr:nvGrpSpPr>
        <xdr:cNvPr id="204" name="Group 203">
          <a:extLst>
            <a:ext uri="{FF2B5EF4-FFF2-40B4-BE49-F238E27FC236}">
              <a16:creationId xmlns:a16="http://schemas.microsoft.com/office/drawing/2014/main" id="{0A95847A-A627-693F-6E0E-321970E271FE}"/>
            </a:ext>
          </a:extLst>
        </xdr:cNvPr>
        <xdr:cNvGrpSpPr/>
      </xdr:nvGrpSpPr>
      <xdr:grpSpPr>
        <a:xfrm>
          <a:off x="400050" y="54525861"/>
          <a:ext cx="3167062" cy="2719389"/>
          <a:chOff x="561975" y="54525861"/>
          <a:chExt cx="3167062" cy="2719389"/>
        </a:xfrm>
      </xdr:grpSpPr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78D59F33-954A-4A7F-A064-0DEFBF2EFD6F}"/>
              </a:ext>
            </a:extLst>
          </xdr:cNvPr>
          <xdr:cNvSpPr/>
        </xdr:nvSpPr>
        <xdr:spPr>
          <a:xfrm>
            <a:off x="1138238" y="563260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6" name="Freeform: Shape 825">
            <a:extLst>
              <a:ext uri="{FF2B5EF4-FFF2-40B4-BE49-F238E27FC236}">
                <a16:creationId xmlns:a16="http://schemas.microsoft.com/office/drawing/2014/main" id="{B5DBE17C-85D2-4C47-A621-D8EC835C4830}"/>
              </a:ext>
            </a:extLst>
          </xdr:cNvPr>
          <xdr:cNvSpPr/>
        </xdr:nvSpPr>
        <xdr:spPr>
          <a:xfrm>
            <a:off x="1295401" y="54606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379F3E77-42BB-49FC-8183-71296865F7E9}"/>
              </a:ext>
            </a:extLst>
          </xdr:cNvPr>
          <xdr:cNvCxnSpPr/>
        </xdr:nvCxnSpPr>
        <xdr:spPr>
          <a:xfrm>
            <a:off x="1133475" y="563213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8406B67-91E6-42E3-883F-93B61C924920}"/>
              </a:ext>
            </a:extLst>
          </xdr:cNvPr>
          <xdr:cNvSpPr/>
        </xdr:nvSpPr>
        <xdr:spPr>
          <a:xfrm>
            <a:off x="3081338" y="563308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99DE1551-F9D0-4AAF-8B13-2B1AD40731B2}"/>
              </a:ext>
            </a:extLst>
          </xdr:cNvPr>
          <xdr:cNvCxnSpPr/>
        </xdr:nvCxnSpPr>
        <xdr:spPr>
          <a:xfrm>
            <a:off x="3076575" y="563260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Connector 831">
            <a:extLst>
              <a:ext uri="{FF2B5EF4-FFF2-40B4-BE49-F238E27FC236}">
                <a16:creationId xmlns:a16="http://schemas.microsoft.com/office/drawing/2014/main" id="{C11A1279-FD3B-4243-9CBB-2B63B6DFB8B9}"/>
              </a:ext>
            </a:extLst>
          </xdr:cNvPr>
          <xdr:cNvCxnSpPr/>
        </xdr:nvCxnSpPr>
        <xdr:spPr>
          <a:xfrm>
            <a:off x="561975" y="5460682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Connector 832">
            <a:extLst>
              <a:ext uri="{FF2B5EF4-FFF2-40B4-BE49-F238E27FC236}">
                <a16:creationId xmlns:a16="http://schemas.microsoft.com/office/drawing/2014/main" id="{18AB94D2-7C71-4A4F-A41F-5D2504651718}"/>
              </a:ext>
            </a:extLst>
          </xdr:cNvPr>
          <xdr:cNvCxnSpPr/>
        </xdr:nvCxnSpPr>
        <xdr:spPr>
          <a:xfrm>
            <a:off x="647701" y="545258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923FB23F-F2E4-4FDE-9B60-D952FF2E1F29}"/>
              </a:ext>
            </a:extLst>
          </xdr:cNvPr>
          <xdr:cNvCxnSpPr/>
        </xdr:nvCxnSpPr>
        <xdr:spPr>
          <a:xfrm flipH="1">
            <a:off x="609600" y="545687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Connector 834">
            <a:extLst>
              <a:ext uri="{FF2B5EF4-FFF2-40B4-BE49-F238E27FC236}">
                <a16:creationId xmlns:a16="http://schemas.microsoft.com/office/drawing/2014/main" id="{C77BAFA4-1232-42DA-9707-0B04BE72D350}"/>
              </a:ext>
            </a:extLst>
          </xdr:cNvPr>
          <xdr:cNvCxnSpPr/>
        </xdr:nvCxnSpPr>
        <xdr:spPr>
          <a:xfrm>
            <a:off x="561976" y="56321326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Connector 835">
            <a:extLst>
              <a:ext uri="{FF2B5EF4-FFF2-40B4-BE49-F238E27FC236}">
                <a16:creationId xmlns:a16="http://schemas.microsoft.com/office/drawing/2014/main" id="{C66A29C2-4D9C-464E-8673-90FDA7EC12F3}"/>
              </a:ext>
            </a:extLst>
          </xdr:cNvPr>
          <xdr:cNvCxnSpPr/>
        </xdr:nvCxnSpPr>
        <xdr:spPr>
          <a:xfrm flipH="1">
            <a:off x="604838" y="562832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Connector 836">
            <a:extLst>
              <a:ext uri="{FF2B5EF4-FFF2-40B4-BE49-F238E27FC236}">
                <a16:creationId xmlns:a16="http://schemas.microsoft.com/office/drawing/2014/main" id="{FC882E16-DC6A-4EC4-BB3B-5FB2CF386E85}"/>
              </a:ext>
            </a:extLst>
          </xdr:cNvPr>
          <xdr:cNvCxnSpPr/>
        </xdr:nvCxnSpPr>
        <xdr:spPr>
          <a:xfrm>
            <a:off x="1295400" y="569452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Straight Connector 837">
            <a:extLst>
              <a:ext uri="{FF2B5EF4-FFF2-40B4-BE49-F238E27FC236}">
                <a16:creationId xmlns:a16="http://schemas.microsoft.com/office/drawing/2014/main" id="{3EF5C39A-B315-40FD-948F-46DB432F1FA6}"/>
              </a:ext>
            </a:extLst>
          </xdr:cNvPr>
          <xdr:cNvCxnSpPr/>
        </xdr:nvCxnSpPr>
        <xdr:spPr>
          <a:xfrm>
            <a:off x="1214439" y="571785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9" name="Straight Connector 838">
            <a:extLst>
              <a:ext uri="{FF2B5EF4-FFF2-40B4-BE49-F238E27FC236}">
                <a16:creationId xmlns:a16="http://schemas.microsoft.com/office/drawing/2014/main" id="{9F828419-3920-436A-A250-DBE76275203F}"/>
              </a:ext>
            </a:extLst>
          </xdr:cNvPr>
          <xdr:cNvCxnSpPr/>
        </xdr:nvCxnSpPr>
        <xdr:spPr>
          <a:xfrm flipH="1">
            <a:off x="1257302" y="571404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0" name="Straight Connector 839">
            <a:extLst>
              <a:ext uri="{FF2B5EF4-FFF2-40B4-BE49-F238E27FC236}">
                <a16:creationId xmlns:a16="http://schemas.microsoft.com/office/drawing/2014/main" id="{1B1FFC5C-250A-4217-A0BA-8C41131C2A5E}"/>
              </a:ext>
            </a:extLst>
          </xdr:cNvPr>
          <xdr:cNvCxnSpPr/>
        </xdr:nvCxnSpPr>
        <xdr:spPr>
          <a:xfrm>
            <a:off x="3238503" y="569595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Connector 840">
            <a:extLst>
              <a:ext uri="{FF2B5EF4-FFF2-40B4-BE49-F238E27FC236}">
                <a16:creationId xmlns:a16="http://schemas.microsoft.com/office/drawing/2014/main" id="{E274B971-C946-487F-ADC8-1734FEE6F5D6}"/>
              </a:ext>
            </a:extLst>
          </xdr:cNvPr>
          <xdr:cNvCxnSpPr/>
        </xdr:nvCxnSpPr>
        <xdr:spPr>
          <a:xfrm flipH="1">
            <a:off x="3200405" y="571404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Straight Arrow Connector 841">
            <a:extLst>
              <a:ext uri="{FF2B5EF4-FFF2-40B4-BE49-F238E27FC236}">
                <a16:creationId xmlns:a16="http://schemas.microsoft.com/office/drawing/2014/main" id="{22634E8E-BBD9-4F77-834E-6719C1209C6A}"/>
              </a:ext>
            </a:extLst>
          </xdr:cNvPr>
          <xdr:cNvCxnSpPr/>
        </xdr:nvCxnSpPr>
        <xdr:spPr>
          <a:xfrm flipV="1">
            <a:off x="1295400" y="5644514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Arrow Connector 842">
            <a:extLst>
              <a:ext uri="{FF2B5EF4-FFF2-40B4-BE49-F238E27FC236}">
                <a16:creationId xmlns:a16="http://schemas.microsoft.com/office/drawing/2014/main" id="{76604BB4-BAD9-47E1-8E82-2FE0A5AF771F}"/>
              </a:ext>
            </a:extLst>
          </xdr:cNvPr>
          <xdr:cNvCxnSpPr/>
        </xdr:nvCxnSpPr>
        <xdr:spPr>
          <a:xfrm flipV="1">
            <a:off x="3238500" y="564451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Arrow Connector 843">
            <a:extLst>
              <a:ext uri="{FF2B5EF4-FFF2-40B4-BE49-F238E27FC236}">
                <a16:creationId xmlns:a16="http://schemas.microsoft.com/office/drawing/2014/main" id="{B3A7E2DF-A14C-4EF5-A879-AE60DD3BCF06}"/>
              </a:ext>
            </a:extLst>
          </xdr:cNvPr>
          <xdr:cNvCxnSpPr/>
        </xdr:nvCxnSpPr>
        <xdr:spPr>
          <a:xfrm>
            <a:off x="1481136" y="56321321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Arrow Connector 844">
            <a:extLst>
              <a:ext uri="{FF2B5EF4-FFF2-40B4-BE49-F238E27FC236}">
                <a16:creationId xmlns:a16="http://schemas.microsoft.com/office/drawing/2014/main" id="{826DCA06-2B35-49A1-A190-138AEA7BC1BC}"/>
              </a:ext>
            </a:extLst>
          </xdr:cNvPr>
          <xdr:cNvCxnSpPr/>
        </xdr:nvCxnSpPr>
        <xdr:spPr>
          <a:xfrm flipH="1">
            <a:off x="3419474" y="563213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B16C14EB-ECAF-452E-B2EE-814D771D01D0}"/>
              </a:ext>
            </a:extLst>
          </xdr:cNvPr>
          <xdr:cNvCxnSpPr/>
        </xdr:nvCxnSpPr>
        <xdr:spPr>
          <a:xfrm>
            <a:off x="1185860" y="5459730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61197A62-BF5B-493B-9CE9-327025221B63}"/>
              </a:ext>
            </a:extLst>
          </xdr:cNvPr>
          <xdr:cNvCxnSpPr/>
        </xdr:nvCxnSpPr>
        <xdr:spPr>
          <a:xfrm flipH="1">
            <a:off x="852488" y="54606825"/>
            <a:ext cx="333375" cy="1714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Arrow Connector 850">
            <a:extLst>
              <a:ext uri="{FF2B5EF4-FFF2-40B4-BE49-F238E27FC236}">
                <a16:creationId xmlns:a16="http://schemas.microsoft.com/office/drawing/2014/main" id="{B15484A4-8E5B-4974-9159-ED8A1C8F45F6}"/>
              </a:ext>
            </a:extLst>
          </xdr:cNvPr>
          <xdr:cNvCxnSpPr/>
        </xdr:nvCxnSpPr>
        <xdr:spPr>
          <a:xfrm>
            <a:off x="847723" y="56321325"/>
            <a:ext cx="34290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Arrow Connector 851">
            <a:extLst>
              <a:ext uri="{FF2B5EF4-FFF2-40B4-BE49-F238E27FC236}">
                <a16:creationId xmlns:a16="http://schemas.microsoft.com/office/drawing/2014/main" id="{A8C2E878-7F8E-4199-BE1D-5EDA1B34551D}"/>
              </a:ext>
            </a:extLst>
          </xdr:cNvPr>
          <xdr:cNvCxnSpPr/>
        </xdr:nvCxnSpPr>
        <xdr:spPr>
          <a:xfrm>
            <a:off x="876300" y="56178449"/>
            <a:ext cx="30480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Arrow Connector 852">
            <a:extLst>
              <a:ext uri="{FF2B5EF4-FFF2-40B4-BE49-F238E27FC236}">
                <a16:creationId xmlns:a16="http://schemas.microsoft.com/office/drawing/2014/main" id="{BBC629AA-7E57-4913-9500-D65538E65A51}"/>
              </a:ext>
            </a:extLst>
          </xdr:cNvPr>
          <xdr:cNvCxnSpPr/>
        </xdr:nvCxnSpPr>
        <xdr:spPr>
          <a:xfrm>
            <a:off x="904875" y="56035574"/>
            <a:ext cx="27622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Arrow Connector 853">
            <a:extLst>
              <a:ext uri="{FF2B5EF4-FFF2-40B4-BE49-F238E27FC236}">
                <a16:creationId xmlns:a16="http://schemas.microsoft.com/office/drawing/2014/main" id="{FAC6DB5B-3CE4-47F8-9D61-53D7D835C7D6}"/>
              </a:ext>
            </a:extLst>
          </xdr:cNvPr>
          <xdr:cNvCxnSpPr/>
        </xdr:nvCxnSpPr>
        <xdr:spPr>
          <a:xfrm>
            <a:off x="938213" y="55892699"/>
            <a:ext cx="24288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Arrow Connector 854">
            <a:extLst>
              <a:ext uri="{FF2B5EF4-FFF2-40B4-BE49-F238E27FC236}">
                <a16:creationId xmlns:a16="http://schemas.microsoft.com/office/drawing/2014/main" id="{4494CDB2-1051-4C4E-AA23-F8AD07697427}"/>
              </a:ext>
            </a:extLst>
          </xdr:cNvPr>
          <xdr:cNvCxnSpPr/>
        </xdr:nvCxnSpPr>
        <xdr:spPr>
          <a:xfrm>
            <a:off x="966788" y="55749824"/>
            <a:ext cx="21431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Arrow Connector 855">
            <a:extLst>
              <a:ext uri="{FF2B5EF4-FFF2-40B4-BE49-F238E27FC236}">
                <a16:creationId xmlns:a16="http://schemas.microsoft.com/office/drawing/2014/main" id="{333B82B0-7BF5-4DE5-8DFE-654B4C0D6903}"/>
              </a:ext>
            </a:extLst>
          </xdr:cNvPr>
          <xdr:cNvCxnSpPr/>
        </xdr:nvCxnSpPr>
        <xdr:spPr>
          <a:xfrm>
            <a:off x="995363" y="55606948"/>
            <a:ext cx="18573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Arrow Connector 856">
            <a:extLst>
              <a:ext uri="{FF2B5EF4-FFF2-40B4-BE49-F238E27FC236}">
                <a16:creationId xmlns:a16="http://schemas.microsoft.com/office/drawing/2014/main" id="{E1589116-4517-4AAB-8905-1F0D47D884E4}"/>
              </a:ext>
            </a:extLst>
          </xdr:cNvPr>
          <xdr:cNvCxnSpPr/>
        </xdr:nvCxnSpPr>
        <xdr:spPr>
          <a:xfrm>
            <a:off x="1019175" y="55464073"/>
            <a:ext cx="16192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Arrow Connector 857">
            <a:extLst>
              <a:ext uri="{FF2B5EF4-FFF2-40B4-BE49-F238E27FC236}">
                <a16:creationId xmlns:a16="http://schemas.microsoft.com/office/drawing/2014/main" id="{ACB3BB49-C502-409F-B3AE-A1DBBEC89E8F}"/>
              </a:ext>
            </a:extLst>
          </xdr:cNvPr>
          <xdr:cNvCxnSpPr/>
        </xdr:nvCxnSpPr>
        <xdr:spPr>
          <a:xfrm>
            <a:off x="1042988" y="55321198"/>
            <a:ext cx="13811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Arrow Connector 858">
            <a:extLst>
              <a:ext uri="{FF2B5EF4-FFF2-40B4-BE49-F238E27FC236}">
                <a16:creationId xmlns:a16="http://schemas.microsoft.com/office/drawing/2014/main" id="{4B664AB5-C62E-4A76-B61D-AF2B6E464C68}"/>
              </a:ext>
            </a:extLst>
          </xdr:cNvPr>
          <xdr:cNvCxnSpPr/>
        </xdr:nvCxnSpPr>
        <xdr:spPr>
          <a:xfrm>
            <a:off x="1076325" y="55178323"/>
            <a:ext cx="10477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Arrow Connector 859">
            <a:extLst>
              <a:ext uri="{FF2B5EF4-FFF2-40B4-BE49-F238E27FC236}">
                <a16:creationId xmlns:a16="http://schemas.microsoft.com/office/drawing/2014/main" id="{BF7BFFD2-1D1E-41DF-8A94-4FCC623F6865}"/>
              </a:ext>
            </a:extLst>
          </xdr:cNvPr>
          <xdr:cNvCxnSpPr/>
        </xdr:nvCxnSpPr>
        <xdr:spPr>
          <a:xfrm>
            <a:off x="1104900" y="55035450"/>
            <a:ext cx="8096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Arrow Connector 860">
            <a:extLst>
              <a:ext uri="{FF2B5EF4-FFF2-40B4-BE49-F238E27FC236}">
                <a16:creationId xmlns:a16="http://schemas.microsoft.com/office/drawing/2014/main" id="{6BF9829B-8FAC-4A8A-85A3-9F9FA07117B3}"/>
              </a:ext>
            </a:extLst>
          </xdr:cNvPr>
          <xdr:cNvCxnSpPr/>
        </xdr:nvCxnSpPr>
        <xdr:spPr>
          <a:xfrm>
            <a:off x="1119188" y="54892575"/>
            <a:ext cx="6667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4" name="Arc 873">
            <a:extLst>
              <a:ext uri="{FF2B5EF4-FFF2-40B4-BE49-F238E27FC236}">
                <a16:creationId xmlns:a16="http://schemas.microsoft.com/office/drawing/2014/main" id="{E2EA7815-C17A-45B0-B091-7EE41638EB6D}"/>
              </a:ext>
            </a:extLst>
          </xdr:cNvPr>
          <xdr:cNvSpPr/>
        </xdr:nvSpPr>
        <xdr:spPr>
          <a:xfrm rot="8054857">
            <a:off x="1047750" y="56083201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5" name="Arc 874">
            <a:extLst>
              <a:ext uri="{FF2B5EF4-FFF2-40B4-BE49-F238E27FC236}">
                <a16:creationId xmlns:a16="http://schemas.microsoft.com/office/drawing/2014/main" id="{5E2E4272-BA95-4800-ACBC-8E349232C9B5}"/>
              </a:ext>
            </a:extLst>
          </xdr:cNvPr>
          <xdr:cNvSpPr/>
        </xdr:nvSpPr>
        <xdr:spPr>
          <a:xfrm rot="8054857">
            <a:off x="2986086" y="56140348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76200</xdr:colOff>
      <xdr:row>398</xdr:row>
      <xdr:rowOff>4763</xdr:rowOff>
    </xdr:from>
    <xdr:to>
      <xdr:col>22</xdr:col>
      <xdr:colOff>4762</xdr:colOff>
      <xdr:row>420</xdr:row>
      <xdr:rowOff>66675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7B7AE2C0-79A2-B904-A63D-FF48E98E278D}"/>
            </a:ext>
          </a:extLst>
        </xdr:cNvPr>
        <xdr:cNvGrpSpPr/>
      </xdr:nvGrpSpPr>
      <xdr:grpSpPr>
        <a:xfrm>
          <a:off x="400050" y="57754838"/>
          <a:ext cx="3167062" cy="3205162"/>
          <a:chOff x="561975" y="57754838"/>
          <a:chExt cx="3167062" cy="3205162"/>
        </a:xfrm>
      </xdr:grpSpPr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1F9F84C2-71BB-49E3-9A6D-69448DC41C9B}"/>
              </a:ext>
            </a:extLst>
          </xdr:cNvPr>
          <xdr:cNvCxnSpPr/>
        </xdr:nvCxnSpPr>
        <xdr:spPr>
          <a:xfrm>
            <a:off x="1223962" y="60607574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F8C42EA6-A132-4398-9753-717A46C50D87}"/>
              </a:ext>
            </a:extLst>
          </xdr:cNvPr>
          <xdr:cNvSpPr/>
        </xdr:nvSpPr>
        <xdr:spPr>
          <a:xfrm>
            <a:off x="1138238" y="597550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8" name="Freeform: Shape 877">
            <a:extLst>
              <a:ext uri="{FF2B5EF4-FFF2-40B4-BE49-F238E27FC236}">
                <a16:creationId xmlns:a16="http://schemas.microsoft.com/office/drawing/2014/main" id="{007AA93F-BF63-437F-88B1-56606392DEA2}"/>
              </a:ext>
            </a:extLst>
          </xdr:cNvPr>
          <xdr:cNvSpPr/>
        </xdr:nvSpPr>
        <xdr:spPr>
          <a:xfrm>
            <a:off x="1295401" y="58035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81" name="Straight Connector 880">
            <a:extLst>
              <a:ext uri="{FF2B5EF4-FFF2-40B4-BE49-F238E27FC236}">
                <a16:creationId xmlns:a16="http://schemas.microsoft.com/office/drawing/2014/main" id="{ED624B68-1556-4E52-AC2A-394D8618B225}"/>
              </a:ext>
            </a:extLst>
          </xdr:cNvPr>
          <xdr:cNvCxnSpPr/>
        </xdr:nvCxnSpPr>
        <xdr:spPr>
          <a:xfrm>
            <a:off x="1133475" y="597503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5021BC74-3E03-4F3D-9315-39791FE1A34F}"/>
              </a:ext>
            </a:extLst>
          </xdr:cNvPr>
          <xdr:cNvSpPr/>
        </xdr:nvSpPr>
        <xdr:spPr>
          <a:xfrm>
            <a:off x="3081338" y="597598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F59A14DD-5875-42C3-8AA9-68841626FEBF}"/>
              </a:ext>
            </a:extLst>
          </xdr:cNvPr>
          <xdr:cNvCxnSpPr/>
        </xdr:nvCxnSpPr>
        <xdr:spPr>
          <a:xfrm>
            <a:off x="3076575" y="597550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Connector 883">
            <a:extLst>
              <a:ext uri="{FF2B5EF4-FFF2-40B4-BE49-F238E27FC236}">
                <a16:creationId xmlns:a16="http://schemas.microsoft.com/office/drawing/2014/main" id="{3BA76A90-3E3D-47EF-9366-13555830D435}"/>
              </a:ext>
            </a:extLst>
          </xdr:cNvPr>
          <xdr:cNvCxnSpPr/>
        </xdr:nvCxnSpPr>
        <xdr:spPr>
          <a:xfrm>
            <a:off x="561975" y="5803582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5" name="Straight Connector 884">
            <a:extLst>
              <a:ext uri="{FF2B5EF4-FFF2-40B4-BE49-F238E27FC236}">
                <a16:creationId xmlns:a16="http://schemas.microsoft.com/office/drawing/2014/main" id="{9C2D0B16-7E03-45DE-975A-56FE5BE1BCE2}"/>
              </a:ext>
            </a:extLst>
          </xdr:cNvPr>
          <xdr:cNvCxnSpPr/>
        </xdr:nvCxnSpPr>
        <xdr:spPr>
          <a:xfrm>
            <a:off x="647701" y="579548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Straight Connector 885">
            <a:extLst>
              <a:ext uri="{FF2B5EF4-FFF2-40B4-BE49-F238E27FC236}">
                <a16:creationId xmlns:a16="http://schemas.microsoft.com/office/drawing/2014/main" id="{48018C25-EBA0-406A-B7FD-3EA911CA614D}"/>
              </a:ext>
            </a:extLst>
          </xdr:cNvPr>
          <xdr:cNvCxnSpPr/>
        </xdr:nvCxnSpPr>
        <xdr:spPr>
          <a:xfrm flipH="1">
            <a:off x="609600" y="579977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7" name="Straight Connector 886">
            <a:extLst>
              <a:ext uri="{FF2B5EF4-FFF2-40B4-BE49-F238E27FC236}">
                <a16:creationId xmlns:a16="http://schemas.microsoft.com/office/drawing/2014/main" id="{D9E033E1-C422-46E7-B4A8-8986601D4EB0}"/>
              </a:ext>
            </a:extLst>
          </xdr:cNvPr>
          <xdr:cNvCxnSpPr/>
        </xdr:nvCxnSpPr>
        <xdr:spPr>
          <a:xfrm>
            <a:off x="561976" y="597503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8" name="Straight Connector 887">
            <a:extLst>
              <a:ext uri="{FF2B5EF4-FFF2-40B4-BE49-F238E27FC236}">
                <a16:creationId xmlns:a16="http://schemas.microsoft.com/office/drawing/2014/main" id="{56111254-90F6-4C63-B942-022455400F52}"/>
              </a:ext>
            </a:extLst>
          </xdr:cNvPr>
          <xdr:cNvCxnSpPr/>
        </xdr:nvCxnSpPr>
        <xdr:spPr>
          <a:xfrm flipH="1">
            <a:off x="609601" y="597122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9" name="Straight Connector 888">
            <a:extLst>
              <a:ext uri="{FF2B5EF4-FFF2-40B4-BE49-F238E27FC236}">
                <a16:creationId xmlns:a16="http://schemas.microsoft.com/office/drawing/2014/main" id="{0DF19ACD-72F7-47DA-A300-623ECDDD61FD}"/>
              </a:ext>
            </a:extLst>
          </xdr:cNvPr>
          <xdr:cNvCxnSpPr/>
        </xdr:nvCxnSpPr>
        <xdr:spPr>
          <a:xfrm>
            <a:off x="1295400" y="60374213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0" name="Straight Connector 889">
            <a:extLst>
              <a:ext uri="{FF2B5EF4-FFF2-40B4-BE49-F238E27FC236}">
                <a16:creationId xmlns:a16="http://schemas.microsoft.com/office/drawing/2014/main" id="{758B43DD-C4C4-436F-AEA1-57B042B9BF2D}"/>
              </a:ext>
            </a:extLst>
          </xdr:cNvPr>
          <xdr:cNvCxnSpPr/>
        </xdr:nvCxnSpPr>
        <xdr:spPr>
          <a:xfrm>
            <a:off x="1214439" y="608933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1" name="Straight Connector 890">
            <a:extLst>
              <a:ext uri="{FF2B5EF4-FFF2-40B4-BE49-F238E27FC236}">
                <a16:creationId xmlns:a16="http://schemas.microsoft.com/office/drawing/2014/main" id="{C5A29C5F-8EC7-49BE-96D7-18D3D91B7EBC}"/>
              </a:ext>
            </a:extLst>
          </xdr:cNvPr>
          <xdr:cNvCxnSpPr/>
        </xdr:nvCxnSpPr>
        <xdr:spPr>
          <a:xfrm flipH="1">
            <a:off x="1257302" y="60855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Connector 891">
            <a:extLst>
              <a:ext uri="{FF2B5EF4-FFF2-40B4-BE49-F238E27FC236}">
                <a16:creationId xmlns:a16="http://schemas.microsoft.com/office/drawing/2014/main" id="{706E6FEA-9514-44A4-826B-71A1765D776F}"/>
              </a:ext>
            </a:extLst>
          </xdr:cNvPr>
          <xdr:cNvCxnSpPr/>
        </xdr:nvCxnSpPr>
        <xdr:spPr>
          <a:xfrm>
            <a:off x="3238503" y="60388500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ED822D11-476D-4541-857E-DE7FCC52D174}"/>
              </a:ext>
            </a:extLst>
          </xdr:cNvPr>
          <xdr:cNvCxnSpPr/>
        </xdr:nvCxnSpPr>
        <xdr:spPr>
          <a:xfrm flipH="1">
            <a:off x="3200405" y="60855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Arrow Connector 893">
            <a:extLst>
              <a:ext uri="{FF2B5EF4-FFF2-40B4-BE49-F238E27FC236}">
                <a16:creationId xmlns:a16="http://schemas.microsoft.com/office/drawing/2014/main" id="{5E0E3EF9-D57A-4716-B4FC-FFD8C085DE2D}"/>
              </a:ext>
            </a:extLst>
          </xdr:cNvPr>
          <xdr:cNvCxnSpPr/>
        </xdr:nvCxnSpPr>
        <xdr:spPr>
          <a:xfrm flipV="1">
            <a:off x="1295400" y="598741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Arrow Connector 894">
            <a:extLst>
              <a:ext uri="{FF2B5EF4-FFF2-40B4-BE49-F238E27FC236}">
                <a16:creationId xmlns:a16="http://schemas.microsoft.com/office/drawing/2014/main" id="{66D12E33-0520-4010-B9EB-F2AFF3006BA6}"/>
              </a:ext>
            </a:extLst>
          </xdr:cNvPr>
          <xdr:cNvCxnSpPr/>
        </xdr:nvCxnSpPr>
        <xdr:spPr>
          <a:xfrm flipV="1">
            <a:off x="3238500" y="598741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Arrow Connector 895">
            <a:extLst>
              <a:ext uri="{FF2B5EF4-FFF2-40B4-BE49-F238E27FC236}">
                <a16:creationId xmlns:a16="http://schemas.microsoft.com/office/drawing/2014/main" id="{F5612AF2-5D48-4CF1-8CF6-6F77FE8CCB49}"/>
              </a:ext>
            </a:extLst>
          </xdr:cNvPr>
          <xdr:cNvCxnSpPr/>
        </xdr:nvCxnSpPr>
        <xdr:spPr>
          <a:xfrm>
            <a:off x="823913" y="597503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Arrow Connector 896">
            <a:extLst>
              <a:ext uri="{FF2B5EF4-FFF2-40B4-BE49-F238E27FC236}">
                <a16:creationId xmlns:a16="http://schemas.microsoft.com/office/drawing/2014/main" id="{0D4B4948-3BA8-49BC-88CA-7C662E11B4F4}"/>
              </a:ext>
            </a:extLst>
          </xdr:cNvPr>
          <xdr:cNvCxnSpPr/>
        </xdr:nvCxnSpPr>
        <xdr:spPr>
          <a:xfrm flipH="1">
            <a:off x="3419474" y="597503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Arrow Connector 900">
            <a:extLst>
              <a:ext uri="{FF2B5EF4-FFF2-40B4-BE49-F238E27FC236}">
                <a16:creationId xmlns:a16="http://schemas.microsoft.com/office/drawing/2014/main" id="{64358F69-FA4C-49FC-B0B6-A283289EAD2E}"/>
              </a:ext>
            </a:extLst>
          </xdr:cNvPr>
          <xdr:cNvCxnSpPr/>
        </xdr:nvCxnSpPr>
        <xdr:spPr>
          <a:xfrm>
            <a:off x="1943100" y="57754838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D380B1FB-DAA6-4934-9259-0184C6B09DB6}"/>
              </a:ext>
            </a:extLst>
          </xdr:cNvPr>
          <xdr:cNvCxnSpPr/>
        </xdr:nvCxnSpPr>
        <xdr:spPr>
          <a:xfrm flipH="1">
            <a:off x="1257299" y="605694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4C6B3562-EBB1-4FEA-A0E6-41F906FD0FE8}"/>
              </a:ext>
            </a:extLst>
          </xdr:cNvPr>
          <xdr:cNvCxnSpPr/>
        </xdr:nvCxnSpPr>
        <xdr:spPr>
          <a:xfrm flipH="1">
            <a:off x="3200402" y="605694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430B9616-257A-4F60-B638-F8935F8F3D76}"/>
              </a:ext>
            </a:extLst>
          </xdr:cNvPr>
          <xdr:cNvCxnSpPr/>
        </xdr:nvCxnSpPr>
        <xdr:spPr>
          <a:xfrm flipV="1">
            <a:off x="1943096" y="58264424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D657BA4D-D68D-4FCE-9474-FDAE8ADFCC75}"/>
              </a:ext>
            </a:extLst>
          </xdr:cNvPr>
          <xdr:cNvCxnSpPr/>
        </xdr:nvCxnSpPr>
        <xdr:spPr>
          <a:xfrm flipH="1">
            <a:off x="1904997" y="605694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7" name="Arc 906">
            <a:extLst>
              <a:ext uri="{FF2B5EF4-FFF2-40B4-BE49-F238E27FC236}">
                <a16:creationId xmlns:a16="http://schemas.microsoft.com/office/drawing/2014/main" id="{8BB535FA-392D-4299-887F-ABFE903B69EF}"/>
              </a:ext>
            </a:extLst>
          </xdr:cNvPr>
          <xdr:cNvSpPr/>
        </xdr:nvSpPr>
        <xdr:spPr>
          <a:xfrm rot="8054857">
            <a:off x="1028700" y="59559824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08" name="Arc 907">
            <a:extLst>
              <a:ext uri="{FF2B5EF4-FFF2-40B4-BE49-F238E27FC236}">
                <a16:creationId xmlns:a16="http://schemas.microsoft.com/office/drawing/2014/main" id="{0D8072D1-5DCD-4404-8E47-7FCF0C0C44AD}"/>
              </a:ext>
            </a:extLst>
          </xdr:cNvPr>
          <xdr:cNvSpPr/>
        </xdr:nvSpPr>
        <xdr:spPr>
          <a:xfrm rot="8054857">
            <a:off x="2971800" y="59574111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9525</xdr:colOff>
      <xdr:row>397</xdr:row>
      <xdr:rowOff>0</xdr:rowOff>
    </xdr:from>
    <xdr:to>
      <xdr:col>42</xdr:col>
      <xdr:colOff>0</xdr:colOff>
      <xdr:row>412</xdr:row>
      <xdr:rowOff>4764</xdr:rowOff>
    </xdr:to>
    <xdr:grpSp>
      <xdr:nvGrpSpPr>
        <xdr:cNvPr id="207" name="Group 206">
          <a:extLst>
            <a:ext uri="{FF2B5EF4-FFF2-40B4-BE49-F238E27FC236}">
              <a16:creationId xmlns:a16="http://schemas.microsoft.com/office/drawing/2014/main" id="{E2F89EE2-8CEB-78AA-15D7-B6EBEF8E3936}"/>
            </a:ext>
          </a:extLst>
        </xdr:cNvPr>
        <xdr:cNvGrpSpPr/>
      </xdr:nvGrpSpPr>
      <xdr:grpSpPr>
        <a:xfrm>
          <a:off x="3895725" y="57607200"/>
          <a:ext cx="2905125" cy="2147889"/>
          <a:chOff x="4057650" y="57607200"/>
          <a:chExt cx="2905125" cy="2147889"/>
        </a:xfrm>
      </xdr:grpSpPr>
      <xdr:sp macro="" textlink="">
        <xdr:nvSpPr>
          <xdr:cNvPr id="898" name="Freeform: Shape 897">
            <a:extLst>
              <a:ext uri="{FF2B5EF4-FFF2-40B4-BE49-F238E27FC236}">
                <a16:creationId xmlns:a16="http://schemas.microsoft.com/office/drawing/2014/main" id="{4B3CC567-8878-4336-AC14-5486C00B30DF}"/>
              </a:ext>
            </a:extLst>
          </xdr:cNvPr>
          <xdr:cNvSpPr/>
        </xdr:nvSpPr>
        <xdr:spPr>
          <a:xfrm>
            <a:off x="4533897" y="580358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06" name="Freeform: Shape 905">
            <a:extLst>
              <a:ext uri="{FF2B5EF4-FFF2-40B4-BE49-F238E27FC236}">
                <a16:creationId xmlns:a16="http://schemas.microsoft.com/office/drawing/2014/main" id="{BBB6ECF9-B6DC-4FF5-BB07-4AF813F4CF56}"/>
              </a:ext>
            </a:extLst>
          </xdr:cNvPr>
          <xdr:cNvSpPr/>
        </xdr:nvSpPr>
        <xdr:spPr>
          <a:xfrm>
            <a:off x="4533900" y="57607200"/>
            <a:ext cx="1943100" cy="857250"/>
          </a:xfrm>
          <a:custGeom>
            <a:avLst/>
            <a:gdLst>
              <a:gd name="connsiteX0" fmla="*/ 0 w 1943100"/>
              <a:gd name="connsiteY0" fmla="*/ 428625 h 857250"/>
              <a:gd name="connsiteX1" fmla="*/ 0 w 1943100"/>
              <a:gd name="connsiteY1" fmla="*/ 0 h 857250"/>
              <a:gd name="connsiteX2" fmla="*/ 647700 w 1943100"/>
              <a:gd name="connsiteY2" fmla="*/ 857250 h 857250"/>
              <a:gd name="connsiteX3" fmla="*/ 1943100 w 1943100"/>
              <a:gd name="connsiteY3" fmla="*/ 4763 h 857250"/>
              <a:gd name="connsiteX4" fmla="*/ 1943100 w 1943100"/>
              <a:gd name="connsiteY4" fmla="*/ 433388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43100" h="857250">
                <a:moveTo>
                  <a:pt x="0" y="428625"/>
                </a:moveTo>
                <a:lnTo>
                  <a:pt x="0" y="0"/>
                </a:lnTo>
                <a:lnTo>
                  <a:pt x="647700" y="857250"/>
                </a:lnTo>
                <a:lnTo>
                  <a:pt x="1943100" y="4763"/>
                </a:lnTo>
                <a:lnTo>
                  <a:pt x="1943100" y="4333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09" name="Freeform: Shape 908">
            <a:extLst>
              <a:ext uri="{FF2B5EF4-FFF2-40B4-BE49-F238E27FC236}">
                <a16:creationId xmlns:a16="http://schemas.microsoft.com/office/drawing/2014/main" id="{5499B4FC-5806-4FE1-B149-CEDFD03D2305}"/>
              </a:ext>
            </a:extLst>
          </xdr:cNvPr>
          <xdr:cNvSpPr/>
        </xdr:nvSpPr>
        <xdr:spPr>
          <a:xfrm>
            <a:off x="4057650" y="58045350"/>
            <a:ext cx="814387" cy="1704976"/>
          </a:xfrm>
          <a:custGeom>
            <a:avLst/>
            <a:gdLst>
              <a:gd name="connsiteX0" fmla="*/ 481012 w 814387"/>
              <a:gd name="connsiteY0" fmla="*/ 0 h 1719263"/>
              <a:gd name="connsiteX1" fmla="*/ 0 w 814387"/>
              <a:gd name="connsiteY1" fmla="*/ 0 h 1719263"/>
              <a:gd name="connsiteX2" fmla="*/ 814387 w 814387"/>
              <a:gd name="connsiteY2" fmla="*/ 1719263 h 1719263"/>
              <a:gd name="connsiteX3" fmla="*/ 481012 w 814387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387" h="1719263">
                <a:moveTo>
                  <a:pt x="481012" y="0"/>
                </a:moveTo>
                <a:lnTo>
                  <a:pt x="0" y="0"/>
                </a:lnTo>
                <a:lnTo>
                  <a:pt x="814387" y="1719263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0" name="Freeform: Shape 909">
            <a:extLst>
              <a:ext uri="{FF2B5EF4-FFF2-40B4-BE49-F238E27FC236}">
                <a16:creationId xmlns:a16="http://schemas.microsoft.com/office/drawing/2014/main" id="{C14EAFB1-5253-48E6-8F0A-34DF25610D25}"/>
              </a:ext>
            </a:extLst>
          </xdr:cNvPr>
          <xdr:cNvSpPr/>
        </xdr:nvSpPr>
        <xdr:spPr>
          <a:xfrm>
            <a:off x="6153150" y="58035825"/>
            <a:ext cx="809625" cy="1719264"/>
          </a:xfrm>
          <a:custGeom>
            <a:avLst/>
            <a:gdLst>
              <a:gd name="connsiteX0" fmla="*/ 319087 w 809625"/>
              <a:gd name="connsiteY0" fmla="*/ 0 h 1704975"/>
              <a:gd name="connsiteX1" fmla="*/ 809625 w 809625"/>
              <a:gd name="connsiteY1" fmla="*/ 0 h 1704975"/>
              <a:gd name="connsiteX2" fmla="*/ 0 w 809625"/>
              <a:gd name="connsiteY2" fmla="*/ 1704975 h 1704975"/>
              <a:gd name="connsiteX3" fmla="*/ 323850 w 80962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09625" h="1704975">
                <a:moveTo>
                  <a:pt x="319087" y="0"/>
                </a:moveTo>
                <a:lnTo>
                  <a:pt x="809625" y="0"/>
                </a:lnTo>
                <a:lnTo>
                  <a:pt x="0" y="1704975"/>
                </a:lnTo>
                <a:lnTo>
                  <a:pt x="32385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76200</xdr:colOff>
      <xdr:row>424</xdr:row>
      <xdr:rowOff>4763</xdr:rowOff>
    </xdr:from>
    <xdr:to>
      <xdr:col>22</xdr:col>
      <xdr:colOff>4762</xdr:colOff>
      <xdr:row>446</xdr:row>
      <xdr:rowOff>66675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29680C69-D0F5-6417-D2E4-3482FCCD1B36}"/>
            </a:ext>
          </a:extLst>
        </xdr:cNvPr>
        <xdr:cNvGrpSpPr/>
      </xdr:nvGrpSpPr>
      <xdr:grpSpPr>
        <a:xfrm>
          <a:off x="400050" y="61469588"/>
          <a:ext cx="3167062" cy="3205162"/>
          <a:chOff x="561975" y="61469588"/>
          <a:chExt cx="3167062" cy="3205162"/>
        </a:xfrm>
      </xdr:grpSpPr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C44D44E2-2C43-487B-B518-42050EAAB7AB}"/>
              </a:ext>
            </a:extLst>
          </xdr:cNvPr>
          <xdr:cNvCxnSpPr/>
        </xdr:nvCxnSpPr>
        <xdr:spPr>
          <a:xfrm>
            <a:off x="1223962" y="64322324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C4DA6F94-8B3C-40B0-ABE1-A7B315D547E4}"/>
              </a:ext>
            </a:extLst>
          </xdr:cNvPr>
          <xdr:cNvSpPr/>
        </xdr:nvSpPr>
        <xdr:spPr>
          <a:xfrm>
            <a:off x="1138238" y="634698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13" name="Freeform: Shape 912">
            <a:extLst>
              <a:ext uri="{FF2B5EF4-FFF2-40B4-BE49-F238E27FC236}">
                <a16:creationId xmlns:a16="http://schemas.microsoft.com/office/drawing/2014/main" id="{F39298D4-1697-4020-B74F-B399DE1F345C}"/>
              </a:ext>
            </a:extLst>
          </xdr:cNvPr>
          <xdr:cNvSpPr/>
        </xdr:nvSpPr>
        <xdr:spPr>
          <a:xfrm>
            <a:off x="1295401" y="61750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8D092010-D380-46A0-A5D8-8F4459C181F8}"/>
              </a:ext>
            </a:extLst>
          </xdr:cNvPr>
          <xdr:cNvCxnSpPr/>
        </xdr:nvCxnSpPr>
        <xdr:spPr>
          <a:xfrm>
            <a:off x="1133475" y="634650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2DA86C84-B93E-42FB-B561-E2B95075735E}"/>
              </a:ext>
            </a:extLst>
          </xdr:cNvPr>
          <xdr:cNvSpPr/>
        </xdr:nvSpPr>
        <xdr:spPr>
          <a:xfrm>
            <a:off x="3081338" y="634745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18" name="Straight Connector 917">
            <a:extLst>
              <a:ext uri="{FF2B5EF4-FFF2-40B4-BE49-F238E27FC236}">
                <a16:creationId xmlns:a16="http://schemas.microsoft.com/office/drawing/2014/main" id="{7A6669EB-0E81-4148-BDFD-BCF45CBE5F06}"/>
              </a:ext>
            </a:extLst>
          </xdr:cNvPr>
          <xdr:cNvCxnSpPr/>
        </xdr:nvCxnSpPr>
        <xdr:spPr>
          <a:xfrm>
            <a:off x="3076575" y="634698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Connector 918">
            <a:extLst>
              <a:ext uri="{FF2B5EF4-FFF2-40B4-BE49-F238E27FC236}">
                <a16:creationId xmlns:a16="http://schemas.microsoft.com/office/drawing/2014/main" id="{EC32C3F3-7CF5-41D5-A327-70250E8B9DF7}"/>
              </a:ext>
            </a:extLst>
          </xdr:cNvPr>
          <xdr:cNvCxnSpPr/>
        </xdr:nvCxnSpPr>
        <xdr:spPr>
          <a:xfrm>
            <a:off x="561975" y="6175057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Connector 919">
            <a:extLst>
              <a:ext uri="{FF2B5EF4-FFF2-40B4-BE49-F238E27FC236}">
                <a16:creationId xmlns:a16="http://schemas.microsoft.com/office/drawing/2014/main" id="{FD4AB838-DBC0-421E-A79F-9468537D7585}"/>
              </a:ext>
            </a:extLst>
          </xdr:cNvPr>
          <xdr:cNvCxnSpPr/>
        </xdr:nvCxnSpPr>
        <xdr:spPr>
          <a:xfrm>
            <a:off x="647701" y="616696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Connector 920">
            <a:extLst>
              <a:ext uri="{FF2B5EF4-FFF2-40B4-BE49-F238E27FC236}">
                <a16:creationId xmlns:a16="http://schemas.microsoft.com/office/drawing/2014/main" id="{BE6D20A1-4076-4907-98E3-8A6A0061570A}"/>
              </a:ext>
            </a:extLst>
          </xdr:cNvPr>
          <xdr:cNvCxnSpPr/>
        </xdr:nvCxnSpPr>
        <xdr:spPr>
          <a:xfrm flipH="1">
            <a:off x="609600" y="617124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Straight Connector 921">
            <a:extLst>
              <a:ext uri="{FF2B5EF4-FFF2-40B4-BE49-F238E27FC236}">
                <a16:creationId xmlns:a16="http://schemas.microsoft.com/office/drawing/2014/main" id="{B5C3E01E-89C1-44B5-A6E4-445C37974D7C}"/>
              </a:ext>
            </a:extLst>
          </xdr:cNvPr>
          <xdr:cNvCxnSpPr/>
        </xdr:nvCxnSpPr>
        <xdr:spPr>
          <a:xfrm>
            <a:off x="561976" y="6346507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3" name="Straight Connector 922">
            <a:extLst>
              <a:ext uri="{FF2B5EF4-FFF2-40B4-BE49-F238E27FC236}">
                <a16:creationId xmlns:a16="http://schemas.microsoft.com/office/drawing/2014/main" id="{178D700B-E381-4209-83F2-C8F948AA8CA7}"/>
              </a:ext>
            </a:extLst>
          </xdr:cNvPr>
          <xdr:cNvCxnSpPr/>
        </xdr:nvCxnSpPr>
        <xdr:spPr>
          <a:xfrm flipH="1">
            <a:off x="609601" y="634269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4" name="Straight Connector 923">
            <a:extLst>
              <a:ext uri="{FF2B5EF4-FFF2-40B4-BE49-F238E27FC236}">
                <a16:creationId xmlns:a16="http://schemas.microsoft.com/office/drawing/2014/main" id="{725D75B3-9F87-4CBC-AD2B-7402B5AC7CE4}"/>
              </a:ext>
            </a:extLst>
          </xdr:cNvPr>
          <xdr:cNvCxnSpPr/>
        </xdr:nvCxnSpPr>
        <xdr:spPr>
          <a:xfrm>
            <a:off x="1295400" y="64088963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Straight Connector 924">
            <a:extLst>
              <a:ext uri="{FF2B5EF4-FFF2-40B4-BE49-F238E27FC236}">
                <a16:creationId xmlns:a16="http://schemas.microsoft.com/office/drawing/2014/main" id="{FCF1D25E-BF56-487D-BC67-D04F7E15640C}"/>
              </a:ext>
            </a:extLst>
          </xdr:cNvPr>
          <xdr:cNvCxnSpPr/>
        </xdr:nvCxnSpPr>
        <xdr:spPr>
          <a:xfrm>
            <a:off x="1214439" y="646080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6" name="Straight Connector 925">
            <a:extLst>
              <a:ext uri="{FF2B5EF4-FFF2-40B4-BE49-F238E27FC236}">
                <a16:creationId xmlns:a16="http://schemas.microsoft.com/office/drawing/2014/main" id="{E0236120-61B0-45C5-814D-C1E8752534A8}"/>
              </a:ext>
            </a:extLst>
          </xdr:cNvPr>
          <xdr:cNvCxnSpPr/>
        </xdr:nvCxnSpPr>
        <xdr:spPr>
          <a:xfrm flipH="1">
            <a:off x="1257302" y="64569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7" name="Straight Connector 926">
            <a:extLst>
              <a:ext uri="{FF2B5EF4-FFF2-40B4-BE49-F238E27FC236}">
                <a16:creationId xmlns:a16="http://schemas.microsoft.com/office/drawing/2014/main" id="{51A5BD81-DAB4-4899-B13F-F3B6D54AE88F}"/>
              </a:ext>
            </a:extLst>
          </xdr:cNvPr>
          <xdr:cNvCxnSpPr/>
        </xdr:nvCxnSpPr>
        <xdr:spPr>
          <a:xfrm>
            <a:off x="3238503" y="64103250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C691060A-CD0A-4C05-80F4-48DEA8B92FF5}"/>
              </a:ext>
            </a:extLst>
          </xdr:cNvPr>
          <xdr:cNvCxnSpPr/>
        </xdr:nvCxnSpPr>
        <xdr:spPr>
          <a:xfrm flipH="1">
            <a:off x="3200405" y="64569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Arrow Connector 928">
            <a:extLst>
              <a:ext uri="{FF2B5EF4-FFF2-40B4-BE49-F238E27FC236}">
                <a16:creationId xmlns:a16="http://schemas.microsoft.com/office/drawing/2014/main" id="{4FE85C62-AB19-4166-8617-84929884AE85}"/>
              </a:ext>
            </a:extLst>
          </xdr:cNvPr>
          <xdr:cNvCxnSpPr/>
        </xdr:nvCxnSpPr>
        <xdr:spPr>
          <a:xfrm flipV="1">
            <a:off x="1295400" y="635888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Arrow Connector 929">
            <a:extLst>
              <a:ext uri="{FF2B5EF4-FFF2-40B4-BE49-F238E27FC236}">
                <a16:creationId xmlns:a16="http://schemas.microsoft.com/office/drawing/2014/main" id="{90B0C040-2A8C-4879-AEF1-4AE24533696E}"/>
              </a:ext>
            </a:extLst>
          </xdr:cNvPr>
          <xdr:cNvCxnSpPr/>
        </xdr:nvCxnSpPr>
        <xdr:spPr>
          <a:xfrm flipV="1">
            <a:off x="3238500" y="635888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Arrow Connector 930">
            <a:extLst>
              <a:ext uri="{FF2B5EF4-FFF2-40B4-BE49-F238E27FC236}">
                <a16:creationId xmlns:a16="http://schemas.microsoft.com/office/drawing/2014/main" id="{7A228CEB-2BB3-4D6F-A243-6CC5A9BD56F7}"/>
              </a:ext>
            </a:extLst>
          </xdr:cNvPr>
          <xdr:cNvCxnSpPr/>
        </xdr:nvCxnSpPr>
        <xdr:spPr>
          <a:xfrm>
            <a:off x="823913" y="6346506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Arrow Connector 931">
            <a:extLst>
              <a:ext uri="{FF2B5EF4-FFF2-40B4-BE49-F238E27FC236}">
                <a16:creationId xmlns:a16="http://schemas.microsoft.com/office/drawing/2014/main" id="{7038E78A-A61A-4242-9921-DD0F3057A30C}"/>
              </a:ext>
            </a:extLst>
          </xdr:cNvPr>
          <xdr:cNvCxnSpPr/>
        </xdr:nvCxnSpPr>
        <xdr:spPr>
          <a:xfrm flipH="1">
            <a:off x="3419474" y="634650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Arrow Connector 935">
            <a:extLst>
              <a:ext uri="{FF2B5EF4-FFF2-40B4-BE49-F238E27FC236}">
                <a16:creationId xmlns:a16="http://schemas.microsoft.com/office/drawing/2014/main" id="{1169F9AC-39F6-498B-B725-3C02016A35E1}"/>
              </a:ext>
            </a:extLst>
          </xdr:cNvPr>
          <xdr:cNvCxnSpPr/>
        </xdr:nvCxnSpPr>
        <xdr:spPr>
          <a:xfrm>
            <a:off x="1943100" y="61469588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Connector 936">
            <a:extLst>
              <a:ext uri="{FF2B5EF4-FFF2-40B4-BE49-F238E27FC236}">
                <a16:creationId xmlns:a16="http://schemas.microsoft.com/office/drawing/2014/main" id="{CE8190F1-47F8-4728-A932-C0C9F7E86346}"/>
              </a:ext>
            </a:extLst>
          </xdr:cNvPr>
          <xdr:cNvCxnSpPr/>
        </xdr:nvCxnSpPr>
        <xdr:spPr>
          <a:xfrm flipH="1">
            <a:off x="1257299" y="642842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Connector 937">
            <a:extLst>
              <a:ext uri="{FF2B5EF4-FFF2-40B4-BE49-F238E27FC236}">
                <a16:creationId xmlns:a16="http://schemas.microsoft.com/office/drawing/2014/main" id="{090B670B-9BFE-4BA6-A9AD-010F1CA33385}"/>
              </a:ext>
            </a:extLst>
          </xdr:cNvPr>
          <xdr:cNvCxnSpPr/>
        </xdr:nvCxnSpPr>
        <xdr:spPr>
          <a:xfrm flipH="1">
            <a:off x="3200402" y="642842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Connector 938">
            <a:extLst>
              <a:ext uri="{FF2B5EF4-FFF2-40B4-BE49-F238E27FC236}">
                <a16:creationId xmlns:a16="http://schemas.microsoft.com/office/drawing/2014/main" id="{1C9C7029-EF34-49E6-BFBD-666E8D52DDD9}"/>
              </a:ext>
            </a:extLst>
          </xdr:cNvPr>
          <xdr:cNvCxnSpPr/>
        </xdr:nvCxnSpPr>
        <xdr:spPr>
          <a:xfrm flipV="1">
            <a:off x="1943096" y="61979174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FA04140C-B425-47AD-8D6C-7DE0F07FCCD2}"/>
              </a:ext>
            </a:extLst>
          </xdr:cNvPr>
          <xdr:cNvCxnSpPr/>
        </xdr:nvCxnSpPr>
        <xdr:spPr>
          <a:xfrm flipH="1">
            <a:off x="1904997" y="642842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12C03673-85D5-4C7E-AE5C-CAB8A3FD0EB3}"/>
              </a:ext>
            </a:extLst>
          </xdr:cNvPr>
          <xdr:cNvCxnSpPr/>
        </xdr:nvCxnSpPr>
        <xdr:spPr>
          <a:xfrm flipV="1">
            <a:off x="2590799" y="61979176"/>
            <a:ext cx="0" cy="24002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Connector 941">
            <a:extLst>
              <a:ext uri="{FF2B5EF4-FFF2-40B4-BE49-F238E27FC236}">
                <a16:creationId xmlns:a16="http://schemas.microsoft.com/office/drawing/2014/main" id="{952F5725-FE0A-48AE-9C41-73579A91AE1F}"/>
              </a:ext>
            </a:extLst>
          </xdr:cNvPr>
          <xdr:cNvCxnSpPr/>
        </xdr:nvCxnSpPr>
        <xdr:spPr>
          <a:xfrm flipH="1">
            <a:off x="2552700" y="6428422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Arrow Connector 942">
            <a:extLst>
              <a:ext uri="{FF2B5EF4-FFF2-40B4-BE49-F238E27FC236}">
                <a16:creationId xmlns:a16="http://schemas.microsoft.com/office/drawing/2014/main" id="{BC314292-6CFB-4F5C-AC51-2848438E47A5}"/>
              </a:ext>
            </a:extLst>
          </xdr:cNvPr>
          <xdr:cNvCxnSpPr/>
        </xdr:nvCxnSpPr>
        <xdr:spPr>
          <a:xfrm>
            <a:off x="2590800" y="61469588"/>
            <a:ext cx="0" cy="276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7" name="Arc 946">
            <a:extLst>
              <a:ext uri="{FF2B5EF4-FFF2-40B4-BE49-F238E27FC236}">
                <a16:creationId xmlns:a16="http://schemas.microsoft.com/office/drawing/2014/main" id="{93D7B106-5F15-4EF3-8574-D0550132709E}"/>
              </a:ext>
            </a:extLst>
          </xdr:cNvPr>
          <xdr:cNvSpPr/>
        </xdr:nvSpPr>
        <xdr:spPr>
          <a:xfrm rot="8054857">
            <a:off x="1028700" y="63293624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48" name="Arc 947">
            <a:extLst>
              <a:ext uri="{FF2B5EF4-FFF2-40B4-BE49-F238E27FC236}">
                <a16:creationId xmlns:a16="http://schemas.microsoft.com/office/drawing/2014/main" id="{CAE5B5DF-CD05-4B24-9CCA-C35138241C29}"/>
              </a:ext>
            </a:extLst>
          </xdr:cNvPr>
          <xdr:cNvSpPr/>
        </xdr:nvSpPr>
        <xdr:spPr>
          <a:xfrm rot="8054857">
            <a:off x="2971800" y="63288861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9525</xdr:colOff>
      <xdr:row>423</xdr:row>
      <xdr:rowOff>0</xdr:rowOff>
    </xdr:from>
    <xdr:to>
      <xdr:col>42</xdr:col>
      <xdr:colOff>0</xdr:colOff>
      <xdr:row>438</xdr:row>
      <xdr:rowOff>76200</xdr:rowOff>
    </xdr:to>
    <xdr:grpSp>
      <xdr:nvGrpSpPr>
        <xdr:cNvPr id="209" name="Group 208">
          <a:extLst>
            <a:ext uri="{FF2B5EF4-FFF2-40B4-BE49-F238E27FC236}">
              <a16:creationId xmlns:a16="http://schemas.microsoft.com/office/drawing/2014/main" id="{50BFCB1C-6024-3BBC-5311-124E23DB7106}"/>
            </a:ext>
          </a:extLst>
        </xdr:cNvPr>
        <xdr:cNvGrpSpPr/>
      </xdr:nvGrpSpPr>
      <xdr:grpSpPr>
        <a:xfrm>
          <a:off x="3895725" y="61321950"/>
          <a:ext cx="2905125" cy="2219325"/>
          <a:chOff x="4057650" y="61321950"/>
          <a:chExt cx="2905125" cy="2219325"/>
        </a:xfrm>
      </xdr:grpSpPr>
      <xdr:sp macro="" textlink="">
        <xdr:nvSpPr>
          <xdr:cNvPr id="933" name="Freeform: Shape 932">
            <a:extLst>
              <a:ext uri="{FF2B5EF4-FFF2-40B4-BE49-F238E27FC236}">
                <a16:creationId xmlns:a16="http://schemas.microsoft.com/office/drawing/2014/main" id="{F816A0A5-691F-4561-A94D-1B2987994D3B}"/>
              </a:ext>
            </a:extLst>
          </xdr:cNvPr>
          <xdr:cNvSpPr/>
        </xdr:nvSpPr>
        <xdr:spPr>
          <a:xfrm>
            <a:off x="4533897" y="617505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44" name="Freeform: Shape 943">
            <a:extLst>
              <a:ext uri="{FF2B5EF4-FFF2-40B4-BE49-F238E27FC236}">
                <a16:creationId xmlns:a16="http://schemas.microsoft.com/office/drawing/2014/main" id="{C135A99A-496E-4046-8DF3-21D9B248B379}"/>
              </a:ext>
            </a:extLst>
          </xdr:cNvPr>
          <xdr:cNvSpPr/>
        </xdr:nvSpPr>
        <xdr:spPr>
          <a:xfrm>
            <a:off x="4533900" y="61321950"/>
            <a:ext cx="1943100" cy="852488"/>
          </a:xfrm>
          <a:custGeom>
            <a:avLst/>
            <a:gdLst>
              <a:gd name="connsiteX0" fmla="*/ 0 w 1943100"/>
              <a:gd name="connsiteY0" fmla="*/ 423863 h 852488"/>
              <a:gd name="connsiteX1" fmla="*/ 0 w 1943100"/>
              <a:gd name="connsiteY1" fmla="*/ 0 h 852488"/>
              <a:gd name="connsiteX2" fmla="*/ 647700 w 1943100"/>
              <a:gd name="connsiteY2" fmla="*/ 852488 h 852488"/>
              <a:gd name="connsiteX3" fmla="*/ 1290638 w 1943100"/>
              <a:gd name="connsiteY3" fmla="*/ 852488 h 852488"/>
              <a:gd name="connsiteX4" fmla="*/ 1943100 w 1943100"/>
              <a:gd name="connsiteY4" fmla="*/ 4763 h 852488"/>
              <a:gd name="connsiteX5" fmla="*/ 1943100 w 1943100"/>
              <a:gd name="connsiteY5" fmla="*/ 433388 h 85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943100" h="852488">
                <a:moveTo>
                  <a:pt x="0" y="423863"/>
                </a:moveTo>
                <a:lnTo>
                  <a:pt x="0" y="0"/>
                </a:lnTo>
                <a:lnTo>
                  <a:pt x="647700" y="852488"/>
                </a:lnTo>
                <a:lnTo>
                  <a:pt x="1290638" y="852488"/>
                </a:lnTo>
                <a:lnTo>
                  <a:pt x="1943100" y="4763"/>
                </a:lnTo>
                <a:lnTo>
                  <a:pt x="1943100" y="4333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5" name="Freeform: Shape 944">
            <a:extLst>
              <a:ext uri="{FF2B5EF4-FFF2-40B4-BE49-F238E27FC236}">
                <a16:creationId xmlns:a16="http://schemas.microsoft.com/office/drawing/2014/main" id="{89E64002-C059-40A8-B058-E07A3398F7F5}"/>
              </a:ext>
            </a:extLst>
          </xdr:cNvPr>
          <xdr:cNvSpPr/>
        </xdr:nvSpPr>
        <xdr:spPr>
          <a:xfrm>
            <a:off x="4057650" y="61760100"/>
            <a:ext cx="814387" cy="1704976"/>
          </a:xfrm>
          <a:custGeom>
            <a:avLst/>
            <a:gdLst>
              <a:gd name="connsiteX0" fmla="*/ 481012 w 814387"/>
              <a:gd name="connsiteY0" fmla="*/ 0 h 1719263"/>
              <a:gd name="connsiteX1" fmla="*/ 0 w 814387"/>
              <a:gd name="connsiteY1" fmla="*/ 0 h 1719263"/>
              <a:gd name="connsiteX2" fmla="*/ 814387 w 814387"/>
              <a:gd name="connsiteY2" fmla="*/ 1719263 h 1719263"/>
              <a:gd name="connsiteX3" fmla="*/ 481012 w 814387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14387" h="1719263">
                <a:moveTo>
                  <a:pt x="481012" y="0"/>
                </a:moveTo>
                <a:lnTo>
                  <a:pt x="0" y="0"/>
                </a:lnTo>
                <a:lnTo>
                  <a:pt x="814387" y="1719263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6" name="Freeform: Shape 945">
            <a:extLst>
              <a:ext uri="{FF2B5EF4-FFF2-40B4-BE49-F238E27FC236}">
                <a16:creationId xmlns:a16="http://schemas.microsoft.com/office/drawing/2014/main" id="{F5A61A32-1694-4BA5-8452-B9DFF0124B01}"/>
              </a:ext>
            </a:extLst>
          </xdr:cNvPr>
          <xdr:cNvSpPr/>
        </xdr:nvSpPr>
        <xdr:spPr>
          <a:xfrm>
            <a:off x="6153150" y="61750575"/>
            <a:ext cx="809625" cy="1719264"/>
          </a:xfrm>
          <a:custGeom>
            <a:avLst/>
            <a:gdLst>
              <a:gd name="connsiteX0" fmla="*/ 319087 w 809625"/>
              <a:gd name="connsiteY0" fmla="*/ 0 h 1704975"/>
              <a:gd name="connsiteX1" fmla="*/ 809625 w 809625"/>
              <a:gd name="connsiteY1" fmla="*/ 0 h 1704975"/>
              <a:gd name="connsiteX2" fmla="*/ 0 w 809625"/>
              <a:gd name="connsiteY2" fmla="*/ 1704975 h 1704975"/>
              <a:gd name="connsiteX3" fmla="*/ 323850 w 809625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09625" h="1704975">
                <a:moveTo>
                  <a:pt x="319087" y="0"/>
                </a:moveTo>
                <a:lnTo>
                  <a:pt x="809625" y="0"/>
                </a:lnTo>
                <a:lnTo>
                  <a:pt x="0" y="1704975"/>
                </a:lnTo>
                <a:lnTo>
                  <a:pt x="32385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50" name="Straight Connector 949">
            <a:extLst>
              <a:ext uri="{FF2B5EF4-FFF2-40B4-BE49-F238E27FC236}">
                <a16:creationId xmlns:a16="http://schemas.microsoft.com/office/drawing/2014/main" id="{EF8D37A3-E69D-666F-7348-CC135BE9B011}"/>
              </a:ext>
            </a:extLst>
          </xdr:cNvPr>
          <xdr:cNvCxnSpPr/>
        </xdr:nvCxnSpPr>
        <xdr:spPr>
          <a:xfrm>
            <a:off x="4600575" y="62745938"/>
            <a:ext cx="8191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Connector 951">
            <a:extLst>
              <a:ext uri="{FF2B5EF4-FFF2-40B4-BE49-F238E27FC236}">
                <a16:creationId xmlns:a16="http://schemas.microsoft.com/office/drawing/2014/main" id="{BF906A03-38A2-EE13-333A-A8D3EBB2466B}"/>
              </a:ext>
            </a:extLst>
          </xdr:cNvPr>
          <xdr:cNvCxnSpPr/>
        </xdr:nvCxnSpPr>
        <xdr:spPr>
          <a:xfrm>
            <a:off x="5343525" y="62674501"/>
            <a:ext cx="0" cy="8667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Connector 953">
            <a:extLst>
              <a:ext uri="{FF2B5EF4-FFF2-40B4-BE49-F238E27FC236}">
                <a16:creationId xmlns:a16="http://schemas.microsoft.com/office/drawing/2014/main" id="{747F09CF-F464-0EDD-B0AD-C81B771B074B}"/>
              </a:ext>
            </a:extLst>
          </xdr:cNvPr>
          <xdr:cNvCxnSpPr/>
        </xdr:nvCxnSpPr>
        <xdr:spPr>
          <a:xfrm>
            <a:off x="4948238" y="63465075"/>
            <a:ext cx="466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Straight Connector 957">
            <a:extLst>
              <a:ext uri="{FF2B5EF4-FFF2-40B4-BE49-F238E27FC236}">
                <a16:creationId xmlns:a16="http://schemas.microsoft.com/office/drawing/2014/main" id="{54D6EB3B-8840-EFFD-575B-EC5F7090184F}"/>
              </a:ext>
            </a:extLst>
          </xdr:cNvPr>
          <xdr:cNvCxnSpPr/>
        </xdr:nvCxnSpPr>
        <xdr:spPr>
          <a:xfrm flipH="1">
            <a:off x="5305426" y="62712599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Connector 959">
            <a:extLst>
              <a:ext uri="{FF2B5EF4-FFF2-40B4-BE49-F238E27FC236}">
                <a16:creationId xmlns:a16="http://schemas.microsoft.com/office/drawing/2014/main" id="{88531E6D-E390-40CB-A750-C847FAE222A8}"/>
              </a:ext>
            </a:extLst>
          </xdr:cNvPr>
          <xdr:cNvCxnSpPr/>
        </xdr:nvCxnSpPr>
        <xdr:spPr>
          <a:xfrm flipH="1">
            <a:off x="5305421" y="63431739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76200</xdr:colOff>
      <xdr:row>451</xdr:row>
      <xdr:rowOff>61911</xdr:rowOff>
    </xdr:from>
    <xdr:to>
      <xdr:col>22</xdr:col>
      <xdr:colOff>4762</xdr:colOff>
      <xdr:row>470</xdr:row>
      <xdr:rowOff>66675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8C7F8582-CF34-622F-83F7-B66A95C9BCA8}"/>
            </a:ext>
          </a:extLst>
        </xdr:cNvPr>
        <xdr:cNvGrpSpPr/>
      </xdr:nvGrpSpPr>
      <xdr:grpSpPr>
        <a:xfrm>
          <a:off x="400050" y="65384361"/>
          <a:ext cx="3167062" cy="2719389"/>
          <a:chOff x="561975" y="65384361"/>
          <a:chExt cx="3167062" cy="2719389"/>
        </a:xfrm>
      </xdr:grpSpPr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F25CE12A-F17F-47BF-BBDE-F984F29C7139}"/>
              </a:ext>
            </a:extLst>
          </xdr:cNvPr>
          <xdr:cNvSpPr/>
        </xdr:nvSpPr>
        <xdr:spPr>
          <a:xfrm>
            <a:off x="1138238" y="671845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2" name="Freeform: Shape 961">
            <a:extLst>
              <a:ext uri="{FF2B5EF4-FFF2-40B4-BE49-F238E27FC236}">
                <a16:creationId xmlns:a16="http://schemas.microsoft.com/office/drawing/2014/main" id="{09902902-79F1-4364-946C-C0AEEAE40B65}"/>
              </a:ext>
            </a:extLst>
          </xdr:cNvPr>
          <xdr:cNvSpPr/>
        </xdr:nvSpPr>
        <xdr:spPr>
          <a:xfrm>
            <a:off x="1295401" y="654653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65" name="Straight Connector 964">
            <a:extLst>
              <a:ext uri="{FF2B5EF4-FFF2-40B4-BE49-F238E27FC236}">
                <a16:creationId xmlns:a16="http://schemas.microsoft.com/office/drawing/2014/main" id="{12BD3FBB-94AA-4224-96A8-3984EC613D30}"/>
              </a:ext>
            </a:extLst>
          </xdr:cNvPr>
          <xdr:cNvCxnSpPr/>
        </xdr:nvCxnSpPr>
        <xdr:spPr>
          <a:xfrm>
            <a:off x="1133475" y="671798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63DD8C95-D954-41C2-97D4-418DA4ED3659}"/>
              </a:ext>
            </a:extLst>
          </xdr:cNvPr>
          <xdr:cNvSpPr/>
        </xdr:nvSpPr>
        <xdr:spPr>
          <a:xfrm>
            <a:off x="3081338" y="671893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67" name="Straight Connector 966">
            <a:extLst>
              <a:ext uri="{FF2B5EF4-FFF2-40B4-BE49-F238E27FC236}">
                <a16:creationId xmlns:a16="http://schemas.microsoft.com/office/drawing/2014/main" id="{9DC5132D-AC08-4E0A-8267-61DBF6EC7CC5}"/>
              </a:ext>
            </a:extLst>
          </xdr:cNvPr>
          <xdr:cNvCxnSpPr/>
        </xdr:nvCxnSpPr>
        <xdr:spPr>
          <a:xfrm>
            <a:off x="3076575" y="671845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>
            <a:extLst>
              <a:ext uri="{FF2B5EF4-FFF2-40B4-BE49-F238E27FC236}">
                <a16:creationId xmlns:a16="http://schemas.microsoft.com/office/drawing/2014/main" id="{1C979CF6-ADE9-4C67-8BBB-BAB6FD302306}"/>
              </a:ext>
            </a:extLst>
          </xdr:cNvPr>
          <xdr:cNvCxnSpPr/>
        </xdr:nvCxnSpPr>
        <xdr:spPr>
          <a:xfrm>
            <a:off x="561975" y="6546532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>
            <a:extLst>
              <a:ext uri="{FF2B5EF4-FFF2-40B4-BE49-F238E27FC236}">
                <a16:creationId xmlns:a16="http://schemas.microsoft.com/office/drawing/2014/main" id="{CA927783-4F00-4CA4-A9DC-851740940C30}"/>
              </a:ext>
            </a:extLst>
          </xdr:cNvPr>
          <xdr:cNvCxnSpPr/>
        </xdr:nvCxnSpPr>
        <xdr:spPr>
          <a:xfrm>
            <a:off x="647701" y="653843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B7D777E7-5188-42D1-9FA7-A4497C3BB7CA}"/>
              </a:ext>
            </a:extLst>
          </xdr:cNvPr>
          <xdr:cNvCxnSpPr/>
        </xdr:nvCxnSpPr>
        <xdr:spPr>
          <a:xfrm flipH="1">
            <a:off x="609600" y="654272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383145F0-447F-4407-B850-B1E8A6930A97}"/>
              </a:ext>
            </a:extLst>
          </xdr:cNvPr>
          <xdr:cNvCxnSpPr/>
        </xdr:nvCxnSpPr>
        <xdr:spPr>
          <a:xfrm>
            <a:off x="561976" y="67179826"/>
            <a:ext cx="4857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F4674502-D782-456A-9FDF-52E556736274}"/>
              </a:ext>
            </a:extLst>
          </xdr:cNvPr>
          <xdr:cNvCxnSpPr/>
        </xdr:nvCxnSpPr>
        <xdr:spPr>
          <a:xfrm flipH="1">
            <a:off x="604838" y="671417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A4413455-855D-4E3D-9D4F-953C460406CF}"/>
              </a:ext>
            </a:extLst>
          </xdr:cNvPr>
          <xdr:cNvCxnSpPr/>
        </xdr:nvCxnSpPr>
        <xdr:spPr>
          <a:xfrm>
            <a:off x="1295400" y="678037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5E45BBD5-44D7-4832-AEBB-B10752DF10B1}"/>
              </a:ext>
            </a:extLst>
          </xdr:cNvPr>
          <xdr:cNvCxnSpPr/>
        </xdr:nvCxnSpPr>
        <xdr:spPr>
          <a:xfrm>
            <a:off x="1214439" y="680370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F1462EBB-230D-44C4-B9D7-75836B162BCC}"/>
              </a:ext>
            </a:extLst>
          </xdr:cNvPr>
          <xdr:cNvCxnSpPr/>
        </xdr:nvCxnSpPr>
        <xdr:spPr>
          <a:xfrm flipH="1">
            <a:off x="1257302" y="67998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3FF45243-2045-4404-8337-E48FFA5DFC2B}"/>
              </a:ext>
            </a:extLst>
          </xdr:cNvPr>
          <xdr:cNvCxnSpPr/>
        </xdr:nvCxnSpPr>
        <xdr:spPr>
          <a:xfrm>
            <a:off x="3238503" y="678180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>
            <a:extLst>
              <a:ext uri="{FF2B5EF4-FFF2-40B4-BE49-F238E27FC236}">
                <a16:creationId xmlns:a16="http://schemas.microsoft.com/office/drawing/2014/main" id="{08E7F5DD-1C15-48EA-B7A0-04C502E4C83E}"/>
              </a:ext>
            </a:extLst>
          </xdr:cNvPr>
          <xdr:cNvCxnSpPr/>
        </xdr:nvCxnSpPr>
        <xdr:spPr>
          <a:xfrm flipH="1">
            <a:off x="3200405" y="679989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Arrow Connector 977">
            <a:extLst>
              <a:ext uri="{FF2B5EF4-FFF2-40B4-BE49-F238E27FC236}">
                <a16:creationId xmlns:a16="http://schemas.microsoft.com/office/drawing/2014/main" id="{45D5F108-DD85-4AE7-9D7C-931FA65B86CD}"/>
              </a:ext>
            </a:extLst>
          </xdr:cNvPr>
          <xdr:cNvCxnSpPr/>
        </xdr:nvCxnSpPr>
        <xdr:spPr>
          <a:xfrm flipV="1">
            <a:off x="1295400" y="6730364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Arrow Connector 978">
            <a:extLst>
              <a:ext uri="{FF2B5EF4-FFF2-40B4-BE49-F238E27FC236}">
                <a16:creationId xmlns:a16="http://schemas.microsoft.com/office/drawing/2014/main" id="{27188E12-3343-4BA8-82E8-88C77CB6019F}"/>
              </a:ext>
            </a:extLst>
          </xdr:cNvPr>
          <xdr:cNvCxnSpPr/>
        </xdr:nvCxnSpPr>
        <xdr:spPr>
          <a:xfrm flipV="1">
            <a:off x="3238500" y="673036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Arrow Connector 979">
            <a:extLst>
              <a:ext uri="{FF2B5EF4-FFF2-40B4-BE49-F238E27FC236}">
                <a16:creationId xmlns:a16="http://schemas.microsoft.com/office/drawing/2014/main" id="{20B8D8C0-7DDE-42FD-A0D2-6EA19E878379}"/>
              </a:ext>
            </a:extLst>
          </xdr:cNvPr>
          <xdr:cNvCxnSpPr/>
        </xdr:nvCxnSpPr>
        <xdr:spPr>
          <a:xfrm>
            <a:off x="1481136" y="67179821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Arrow Connector 980">
            <a:extLst>
              <a:ext uri="{FF2B5EF4-FFF2-40B4-BE49-F238E27FC236}">
                <a16:creationId xmlns:a16="http://schemas.microsoft.com/office/drawing/2014/main" id="{24372C5B-CB3B-4C22-BAB5-6FBE4F14050C}"/>
              </a:ext>
            </a:extLst>
          </xdr:cNvPr>
          <xdr:cNvCxnSpPr/>
        </xdr:nvCxnSpPr>
        <xdr:spPr>
          <a:xfrm flipH="1">
            <a:off x="3419474" y="671798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Arrow Connector 983">
            <a:extLst>
              <a:ext uri="{FF2B5EF4-FFF2-40B4-BE49-F238E27FC236}">
                <a16:creationId xmlns:a16="http://schemas.microsoft.com/office/drawing/2014/main" id="{B4AC9542-112E-40CE-9A13-0294F189BB5E}"/>
              </a:ext>
            </a:extLst>
          </xdr:cNvPr>
          <xdr:cNvCxnSpPr/>
        </xdr:nvCxnSpPr>
        <xdr:spPr>
          <a:xfrm>
            <a:off x="966788" y="65465325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7" name="Arc 986">
            <a:extLst>
              <a:ext uri="{FF2B5EF4-FFF2-40B4-BE49-F238E27FC236}">
                <a16:creationId xmlns:a16="http://schemas.microsoft.com/office/drawing/2014/main" id="{8DFE122E-8AF8-401F-B7F6-E0A1578FA4FE}"/>
              </a:ext>
            </a:extLst>
          </xdr:cNvPr>
          <xdr:cNvSpPr/>
        </xdr:nvSpPr>
        <xdr:spPr>
          <a:xfrm rot="8054857">
            <a:off x="1038225" y="66932175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8" name="Arc 987">
            <a:extLst>
              <a:ext uri="{FF2B5EF4-FFF2-40B4-BE49-F238E27FC236}">
                <a16:creationId xmlns:a16="http://schemas.microsoft.com/office/drawing/2014/main" id="{94A79C49-AE2B-4172-BC1B-0C75F02C4229}"/>
              </a:ext>
            </a:extLst>
          </xdr:cNvPr>
          <xdr:cNvSpPr/>
        </xdr:nvSpPr>
        <xdr:spPr>
          <a:xfrm rot="8054857">
            <a:off x="2981326" y="67008374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42863</xdr:colOff>
      <xdr:row>449</xdr:row>
      <xdr:rowOff>0</xdr:rowOff>
    </xdr:from>
    <xdr:to>
      <xdr:col>41</xdr:col>
      <xdr:colOff>157163</xdr:colOff>
      <xdr:row>464</xdr:row>
      <xdr:rowOff>4763</xdr:rowOff>
    </xdr:to>
    <xdr:grpSp>
      <xdr:nvGrpSpPr>
        <xdr:cNvPr id="211" name="Group 210">
          <a:extLst>
            <a:ext uri="{FF2B5EF4-FFF2-40B4-BE49-F238E27FC236}">
              <a16:creationId xmlns:a16="http://schemas.microsoft.com/office/drawing/2014/main" id="{2D3AB6E1-B675-08FF-3227-1883722CA077}"/>
            </a:ext>
          </a:extLst>
        </xdr:cNvPr>
        <xdr:cNvGrpSpPr/>
      </xdr:nvGrpSpPr>
      <xdr:grpSpPr>
        <a:xfrm>
          <a:off x="3929063" y="65036700"/>
          <a:ext cx="2867025" cy="2147888"/>
          <a:chOff x="4090988" y="65036700"/>
          <a:chExt cx="2867025" cy="2147888"/>
        </a:xfrm>
      </xdr:grpSpPr>
      <xdr:sp macro="" textlink="">
        <xdr:nvSpPr>
          <xdr:cNvPr id="982" name="Freeform: Shape 981">
            <a:extLst>
              <a:ext uri="{FF2B5EF4-FFF2-40B4-BE49-F238E27FC236}">
                <a16:creationId xmlns:a16="http://schemas.microsoft.com/office/drawing/2014/main" id="{56FDD25E-36A6-4825-B0AB-C083188BD32A}"/>
              </a:ext>
            </a:extLst>
          </xdr:cNvPr>
          <xdr:cNvSpPr/>
        </xdr:nvSpPr>
        <xdr:spPr>
          <a:xfrm>
            <a:off x="4533897" y="654653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6" name="Freeform: Shape 985">
            <a:extLst>
              <a:ext uri="{FF2B5EF4-FFF2-40B4-BE49-F238E27FC236}">
                <a16:creationId xmlns:a16="http://schemas.microsoft.com/office/drawing/2014/main" id="{30981B81-33FD-409D-B0CF-F15AFC1BF728}"/>
              </a:ext>
            </a:extLst>
          </xdr:cNvPr>
          <xdr:cNvSpPr/>
        </xdr:nvSpPr>
        <xdr:spPr>
          <a:xfrm>
            <a:off x="4538663" y="65036700"/>
            <a:ext cx="1938337" cy="862013"/>
          </a:xfrm>
          <a:custGeom>
            <a:avLst/>
            <a:gdLst>
              <a:gd name="connsiteX0" fmla="*/ 0 w 1938337"/>
              <a:gd name="connsiteY0" fmla="*/ 862013 h 862013"/>
              <a:gd name="connsiteX1" fmla="*/ 1938337 w 1938337"/>
              <a:gd name="connsiteY1" fmla="*/ 0 h 862013"/>
              <a:gd name="connsiteX2" fmla="*/ 1938337 w 1938337"/>
              <a:gd name="connsiteY2" fmla="*/ 442913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862013">
                <a:moveTo>
                  <a:pt x="0" y="862013"/>
                </a:moveTo>
                <a:lnTo>
                  <a:pt x="1938337" y="0"/>
                </a:lnTo>
                <a:lnTo>
                  <a:pt x="1938337" y="4429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9" name="Freeform: Shape 988">
            <a:extLst>
              <a:ext uri="{FF2B5EF4-FFF2-40B4-BE49-F238E27FC236}">
                <a16:creationId xmlns:a16="http://schemas.microsoft.com/office/drawing/2014/main" id="{2BB5E927-21DD-CFA2-2A95-20784EB8430B}"/>
              </a:ext>
            </a:extLst>
          </xdr:cNvPr>
          <xdr:cNvSpPr/>
        </xdr:nvSpPr>
        <xdr:spPr>
          <a:xfrm>
            <a:off x="4090988" y="65465325"/>
            <a:ext cx="933450" cy="1714500"/>
          </a:xfrm>
          <a:custGeom>
            <a:avLst/>
            <a:gdLst>
              <a:gd name="connsiteX0" fmla="*/ 933450 w 933450"/>
              <a:gd name="connsiteY0" fmla="*/ 0 h 1714500"/>
              <a:gd name="connsiteX1" fmla="*/ 0 w 933450"/>
              <a:gd name="connsiteY1" fmla="*/ 1714500 h 1714500"/>
              <a:gd name="connsiteX2" fmla="*/ 447675 w 933450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33450" h="1714500">
                <a:moveTo>
                  <a:pt x="933450" y="0"/>
                </a:moveTo>
                <a:lnTo>
                  <a:pt x="0" y="1714500"/>
                </a:lnTo>
                <a:lnTo>
                  <a:pt x="447675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0" name="Freeform: Shape 989">
            <a:extLst>
              <a:ext uri="{FF2B5EF4-FFF2-40B4-BE49-F238E27FC236}">
                <a16:creationId xmlns:a16="http://schemas.microsoft.com/office/drawing/2014/main" id="{839162ED-60E2-033A-5CFB-FB42918ED589}"/>
              </a:ext>
            </a:extLst>
          </xdr:cNvPr>
          <xdr:cNvSpPr/>
        </xdr:nvSpPr>
        <xdr:spPr>
          <a:xfrm>
            <a:off x="5981700" y="65470088"/>
            <a:ext cx="976313" cy="1704975"/>
          </a:xfrm>
          <a:custGeom>
            <a:avLst/>
            <a:gdLst>
              <a:gd name="connsiteX0" fmla="*/ 514350 w 976313"/>
              <a:gd name="connsiteY0" fmla="*/ 0 h 1704975"/>
              <a:gd name="connsiteX1" fmla="*/ 976313 w 976313"/>
              <a:gd name="connsiteY1" fmla="*/ 0 h 1704975"/>
              <a:gd name="connsiteX2" fmla="*/ 0 w 976313"/>
              <a:gd name="connsiteY2" fmla="*/ 1704975 h 1704975"/>
              <a:gd name="connsiteX3" fmla="*/ 495300 w 976313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76313" h="1704975">
                <a:moveTo>
                  <a:pt x="514350" y="0"/>
                </a:moveTo>
                <a:lnTo>
                  <a:pt x="976313" y="0"/>
                </a:lnTo>
                <a:lnTo>
                  <a:pt x="0" y="1704975"/>
                </a:lnTo>
                <a:lnTo>
                  <a:pt x="495300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76200</xdr:colOff>
      <xdr:row>476</xdr:row>
      <xdr:rowOff>95250</xdr:rowOff>
    </xdr:from>
    <xdr:to>
      <xdr:col>20</xdr:col>
      <xdr:colOff>96572</xdr:colOff>
      <xdr:row>496</xdr:row>
      <xdr:rowOff>66675</xdr:rowOff>
    </xdr:to>
    <xdr:grpSp>
      <xdr:nvGrpSpPr>
        <xdr:cNvPr id="212" name="Group 211">
          <a:extLst>
            <a:ext uri="{FF2B5EF4-FFF2-40B4-BE49-F238E27FC236}">
              <a16:creationId xmlns:a16="http://schemas.microsoft.com/office/drawing/2014/main" id="{11B8274B-F2BF-7F08-5347-3725E231C6F4}"/>
            </a:ext>
          </a:extLst>
        </xdr:cNvPr>
        <xdr:cNvGrpSpPr/>
      </xdr:nvGrpSpPr>
      <xdr:grpSpPr>
        <a:xfrm>
          <a:off x="400050" y="68989575"/>
          <a:ext cx="2935022" cy="2828925"/>
          <a:chOff x="561975" y="68989575"/>
          <a:chExt cx="2935022" cy="2828925"/>
        </a:xfrm>
      </xdr:grpSpPr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B3B6FB67-C79E-4C42-A133-0441C89478C1}"/>
              </a:ext>
            </a:extLst>
          </xdr:cNvPr>
          <xdr:cNvSpPr/>
        </xdr:nvSpPr>
        <xdr:spPr>
          <a:xfrm>
            <a:off x="1138238" y="708993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92" name="Freeform: Shape 991">
            <a:extLst>
              <a:ext uri="{FF2B5EF4-FFF2-40B4-BE49-F238E27FC236}">
                <a16:creationId xmlns:a16="http://schemas.microsoft.com/office/drawing/2014/main" id="{45C9AA87-281A-49B1-8749-B9D96D2DCA55}"/>
              </a:ext>
            </a:extLst>
          </xdr:cNvPr>
          <xdr:cNvSpPr/>
        </xdr:nvSpPr>
        <xdr:spPr>
          <a:xfrm>
            <a:off x="1295401" y="691800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95" name="Straight Connector 994">
            <a:extLst>
              <a:ext uri="{FF2B5EF4-FFF2-40B4-BE49-F238E27FC236}">
                <a16:creationId xmlns:a16="http://schemas.microsoft.com/office/drawing/2014/main" id="{69C1F349-21DD-46FA-8F13-04032F4DB648}"/>
              </a:ext>
            </a:extLst>
          </xdr:cNvPr>
          <xdr:cNvCxnSpPr/>
        </xdr:nvCxnSpPr>
        <xdr:spPr>
          <a:xfrm>
            <a:off x="1133475" y="708945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522F758B-BFF6-47F6-A5CE-8D49B2256D3A}"/>
              </a:ext>
            </a:extLst>
          </xdr:cNvPr>
          <xdr:cNvSpPr/>
        </xdr:nvSpPr>
        <xdr:spPr>
          <a:xfrm>
            <a:off x="3081338" y="709040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1CDC61F4-F5AE-49FE-B70C-7C16E30938D9}"/>
              </a:ext>
            </a:extLst>
          </xdr:cNvPr>
          <xdr:cNvCxnSpPr/>
        </xdr:nvCxnSpPr>
        <xdr:spPr>
          <a:xfrm>
            <a:off x="3076575" y="708993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Connector 997">
            <a:extLst>
              <a:ext uri="{FF2B5EF4-FFF2-40B4-BE49-F238E27FC236}">
                <a16:creationId xmlns:a16="http://schemas.microsoft.com/office/drawing/2014/main" id="{D3605177-A5ED-450A-A4BA-E206231E6CD2}"/>
              </a:ext>
            </a:extLst>
          </xdr:cNvPr>
          <xdr:cNvCxnSpPr/>
        </xdr:nvCxnSpPr>
        <xdr:spPr>
          <a:xfrm>
            <a:off x="576261" y="69180075"/>
            <a:ext cx="4810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Connector 998">
            <a:extLst>
              <a:ext uri="{FF2B5EF4-FFF2-40B4-BE49-F238E27FC236}">
                <a16:creationId xmlns:a16="http://schemas.microsoft.com/office/drawing/2014/main" id="{7DA55459-A22F-4469-A3A2-47A8555D5D60}"/>
              </a:ext>
            </a:extLst>
          </xdr:cNvPr>
          <xdr:cNvCxnSpPr/>
        </xdr:nvCxnSpPr>
        <xdr:spPr>
          <a:xfrm>
            <a:off x="647701" y="6909911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Connector 999">
            <a:extLst>
              <a:ext uri="{FF2B5EF4-FFF2-40B4-BE49-F238E27FC236}">
                <a16:creationId xmlns:a16="http://schemas.microsoft.com/office/drawing/2014/main" id="{2594ADD8-1BE6-4211-87BE-D56BA2879996}"/>
              </a:ext>
            </a:extLst>
          </xdr:cNvPr>
          <xdr:cNvCxnSpPr/>
        </xdr:nvCxnSpPr>
        <xdr:spPr>
          <a:xfrm flipH="1">
            <a:off x="609600" y="691419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Connector 1000">
            <a:extLst>
              <a:ext uri="{FF2B5EF4-FFF2-40B4-BE49-F238E27FC236}">
                <a16:creationId xmlns:a16="http://schemas.microsoft.com/office/drawing/2014/main" id="{B089E220-CC4F-4C8A-BE6B-B1A4B5A46B78}"/>
              </a:ext>
            </a:extLst>
          </xdr:cNvPr>
          <xdr:cNvCxnSpPr/>
        </xdr:nvCxnSpPr>
        <xdr:spPr>
          <a:xfrm>
            <a:off x="561975" y="70894575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Connector 1001">
            <a:extLst>
              <a:ext uri="{FF2B5EF4-FFF2-40B4-BE49-F238E27FC236}">
                <a16:creationId xmlns:a16="http://schemas.microsoft.com/office/drawing/2014/main" id="{E5D9EB93-BE21-40F0-A3B9-5D43D67C81E8}"/>
              </a:ext>
            </a:extLst>
          </xdr:cNvPr>
          <xdr:cNvCxnSpPr/>
        </xdr:nvCxnSpPr>
        <xdr:spPr>
          <a:xfrm flipH="1">
            <a:off x="609600" y="7085646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Connector 1002">
            <a:extLst>
              <a:ext uri="{FF2B5EF4-FFF2-40B4-BE49-F238E27FC236}">
                <a16:creationId xmlns:a16="http://schemas.microsoft.com/office/drawing/2014/main" id="{2E7A73AC-003C-4353-9B7D-7DD434EE7B3A}"/>
              </a:ext>
            </a:extLst>
          </xdr:cNvPr>
          <xdr:cNvCxnSpPr/>
        </xdr:nvCxnSpPr>
        <xdr:spPr>
          <a:xfrm>
            <a:off x="1295400" y="715184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Connector 1003">
            <a:extLst>
              <a:ext uri="{FF2B5EF4-FFF2-40B4-BE49-F238E27FC236}">
                <a16:creationId xmlns:a16="http://schemas.microsoft.com/office/drawing/2014/main" id="{799ADBF2-BF2E-400B-A5AB-4918046DF63F}"/>
              </a:ext>
            </a:extLst>
          </xdr:cNvPr>
          <xdr:cNvCxnSpPr/>
        </xdr:nvCxnSpPr>
        <xdr:spPr>
          <a:xfrm>
            <a:off x="1214439" y="717518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2EC0C813-C4AB-4259-8D27-8B690A0ACE85}"/>
              </a:ext>
            </a:extLst>
          </xdr:cNvPr>
          <xdr:cNvCxnSpPr/>
        </xdr:nvCxnSpPr>
        <xdr:spPr>
          <a:xfrm flipH="1">
            <a:off x="1257302" y="717137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6D9BF1FA-763E-4285-923B-D381217074A3}"/>
              </a:ext>
            </a:extLst>
          </xdr:cNvPr>
          <xdr:cNvCxnSpPr/>
        </xdr:nvCxnSpPr>
        <xdr:spPr>
          <a:xfrm>
            <a:off x="3238503" y="715327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Connector 1006">
            <a:extLst>
              <a:ext uri="{FF2B5EF4-FFF2-40B4-BE49-F238E27FC236}">
                <a16:creationId xmlns:a16="http://schemas.microsoft.com/office/drawing/2014/main" id="{E973BE65-AF58-4D9E-9497-03A7EF747AD3}"/>
              </a:ext>
            </a:extLst>
          </xdr:cNvPr>
          <xdr:cNvCxnSpPr/>
        </xdr:nvCxnSpPr>
        <xdr:spPr>
          <a:xfrm flipH="1">
            <a:off x="3200405" y="717137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Arrow Connector 1007">
            <a:extLst>
              <a:ext uri="{FF2B5EF4-FFF2-40B4-BE49-F238E27FC236}">
                <a16:creationId xmlns:a16="http://schemas.microsoft.com/office/drawing/2014/main" id="{C0D63A0C-534F-4AB4-B97C-336DB74F5F91}"/>
              </a:ext>
            </a:extLst>
          </xdr:cNvPr>
          <xdr:cNvCxnSpPr/>
        </xdr:nvCxnSpPr>
        <xdr:spPr>
          <a:xfrm flipV="1">
            <a:off x="3243262" y="710183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Arrow Connector 1008">
            <a:extLst>
              <a:ext uri="{FF2B5EF4-FFF2-40B4-BE49-F238E27FC236}">
                <a16:creationId xmlns:a16="http://schemas.microsoft.com/office/drawing/2014/main" id="{FA8BCCB3-D5BB-4DEE-B89B-E143FCCAFDD5}"/>
              </a:ext>
            </a:extLst>
          </xdr:cNvPr>
          <xdr:cNvCxnSpPr/>
        </xdr:nvCxnSpPr>
        <xdr:spPr>
          <a:xfrm flipV="1">
            <a:off x="1290638" y="71023156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Straight Arrow Connector 1009">
            <a:extLst>
              <a:ext uri="{FF2B5EF4-FFF2-40B4-BE49-F238E27FC236}">
                <a16:creationId xmlns:a16="http://schemas.microsoft.com/office/drawing/2014/main" id="{BB23AEC1-1266-49AD-BC4A-22C60ACF3FDE}"/>
              </a:ext>
            </a:extLst>
          </xdr:cNvPr>
          <xdr:cNvCxnSpPr/>
        </xdr:nvCxnSpPr>
        <xdr:spPr>
          <a:xfrm>
            <a:off x="1490663" y="70899330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1" name="Straight Arrow Connector 1010">
            <a:extLst>
              <a:ext uri="{FF2B5EF4-FFF2-40B4-BE49-F238E27FC236}">
                <a16:creationId xmlns:a16="http://schemas.microsoft.com/office/drawing/2014/main" id="{449A2D39-C079-4C1F-8622-0C90AC522D54}"/>
              </a:ext>
            </a:extLst>
          </xdr:cNvPr>
          <xdr:cNvCxnSpPr/>
        </xdr:nvCxnSpPr>
        <xdr:spPr>
          <a:xfrm flipH="1">
            <a:off x="2738437" y="70908862"/>
            <a:ext cx="309563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3" name="Arc 1012">
            <a:extLst>
              <a:ext uri="{FF2B5EF4-FFF2-40B4-BE49-F238E27FC236}">
                <a16:creationId xmlns:a16="http://schemas.microsoft.com/office/drawing/2014/main" id="{DEBB0804-9AA8-46C8-A387-CEEAD2D753AC}"/>
              </a:ext>
            </a:extLst>
          </xdr:cNvPr>
          <xdr:cNvSpPr/>
        </xdr:nvSpPr>
        <xdr:spPr>
          <a:xfrm>
            <a:off x="1123950" y="68989575"/>
            <a:ext cx="495300" cy="495300"/>
          </a:xfrm>
          <a:prstGeom prst="arc">
            <a:avLst>
              <a:gd name="adj1" fmla="val 9408085"/>
              <a:gd name="adj2" fmla="val 17366402"/>
            </a:avLst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7" name="Arc 1016">
            <a:extLst>
              <a:ext uri="{FF2B5EF4-FFF2-40B4-BE49-F238E27FC236}">
                <a16:creationId xmlns:a16="http://schemas.microsoft.com/office/drawing/2014/main" id="{45BF524F-1980-490B-BC7B-601769084AAC}"/>
              </a:ext>
            </a:extLst>
          </xdr:cNvPr>
          <xdr:cNvSpPr/>
        </xdr:nvSpPr>
        <xdr:spPr>
          <a:xfrm rot="8054857">
            <a:off x="1028699" y="70713601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8" name="Arc 1017">
            <a:extLst>
              <a:ext uri="{FF2B5EF4-FFF2-40B4-BE49-F238E27FC236}">
                <a16:creationId xmlns:a16="http://schemas.microsoft.com/office/drawing/2014/main" id="{A67BF84C-4F42-4FBD-856D-F6462344EAB0}"/>
              </a:ext>
            </a:extLst>
          </xdr:cNvPr>
          <xdr:cNvSpPr/>
        </xdr:nvSpPr>
        <xdr:spPr>
          <a:xfrm rot="8054857">
            <a:off x="2971799" y="70646925"/>
            <a:ext cx="525198" cy="525198"/>
          </a:xfrm>
          <a:prstGeom prst="arc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152400</xdr:colOff>
      <xdr:row>474</xdr:row>
      <xdr:rowOff>9525</xdr:rowOff>
    </xdr:from>
    <xdr:to>
      <xdr:col>41</xdr:col>
      <xdr:colOff>0</xdr:colOff>
      <xdr:row>490</xdr:row>
      <xdr:rowOff>4763</xdr:rowOff>
    </xdr:to>
    <xdr:grpSp>
      <xdr:nvGrpSpPr>
        <xdr:cNvPr id="213" name="Group 212">
          <a:extLst>
            <a:ext uri="{FF2B5EF4-FFF2-40B4-BE49-F238E27FC236}">
              <a16:creationId xmlns:a16="http://schemas.microsoft.com/office/drawing/2014/main" id="{6B7F4E5B-8569-3D11-118E-CA0CCE26CF1C}"/>
            </a:ext>
          </a:extLst>
        </xdr:cNvPr>
        <xdr:cNvGrpSpPr/>
      </xdr:nvGrpSpPr>
      <xdr:grpSpPr>
        <a:xfrm>
          <a:off x="4038600" y="68618100"/>
          <a:ext cx="2600325" cy="2281238"/>
          <a:chOff x="4200525" y="68618100"/>
          <a:chExt cx="2600325" cy="2281238"/>
        </a:xfrm>
      </xdr:grpSpPr>
      <xdr:sp macro="" textlink="">
        <xdr:nvSpPr>
          <xdr:cNvPr id="1012" name="Freeform: Shape 1011">
            <a:extLst>
              <a:ext uri="{FF2B5EF4-FFF2-40B4-BE49-F238E27FC236}">
                <a16:creationId xmlns:a16="http://schemas.microsoft.com/office/drawing/2014/main" id="{47D782D5-A97B-4D2C-80A0-D31C8958C9FE}"/>
              </a:ext>
            </a:extLst>
          </xdr:cNvPr>
          <xdr:cNvSpPr/>
        </xdr:nvSpPr>
        <xdr:spPr>
          <a:xfrm>
            <a:off x="4533897" y="691800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5" name="Freeform: Shape 1014">
            <a:extLst>
              <a:ext uri="{FF2B5EF4-FFF2-40B4-BE49-F238E27FC236}">
                <a16:creationId xmlns:a16="http://schemas.microsoft.com/office/drawing/2014/main" id="{7D704D02-7DEB-4A38-A6E6-9ABF2102C34D}"/>
              </a:ext>
            </a:extLst>
          </xdr:cNvPr>
          <xdr:cNvSpPr/>
        </xdr:nvSpPr>
        <xdr:spPr>
          <a:xfrm>
            <a:off x="4533901" y="68618100"/>
            <a:ext cx="1943100" cy="985838"/>
          </a:xfrm>
          <a:custGeom>
            <a:avLst/>
            <a:gdLst>
              <a:gd name="connsiteX0" fmla="*/ 0 w 1938337"/>
              <a:gd name="connsiteY0" fmla="*/ 557213 h 985838"/>
              <a:gd name="connsiteX1" fmla="*/ 0 w 1938337"/>
              <a:gd name="connsiteY1" fmla="*/ 0 h 985838"/>
              <a:gd name="connsiteX2" fmla="*/ 1938337 w 1938337"/>
              <a:gd name="connsiteY2" fmla="*/ 985838 h 9858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985838">
                <a:moveTo>
                  <a:pt x="0" y="557213"/>
                </a:moveTo>
                <a:lnTo>
                  <a:pt x="0" y="0"/>
                </a:lnTo>
                <a:lnTo>
                  <a:pt x="1938337" y="98583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9" name="Freeform: Shape 1018">
            <a:extLst>
              <a:ext uri="{FF2B5EF4-FFF2-40B4-BE49-F238E27FC236}">
                <a16:creationId xmlns:a16="http://schemas.microsoft.com/office/drawing/2014/main" id="{90849703-104A-6103-E0B8-1B191AF1EA96}"/>
              </a:ext>
            </a:extLst>
          </xdr:cNvPr>
          <xdr:cNvSpPr/>
        </xdr:nvSpPr>
        <xdr:spPr>
          <a:xfrm>
            <a:off x="4200525" y="69180075"/>
            <a:ext cx="823913" cy="1714500"/>
          </a:xfrm>
          <a:custGeom>
            <a:avLst/>
            <a:gdLst>
              <a:gd name="connsiteX0" fmla="*/ 823913 w 823913"/>
              <a:gd name="connsiteY0" fmla="*/ 0 h 1714500"/>
              <a:gd name="connsiteX1" fmla="*/ 0 w 823913"/>
              <a:gd name="connsiteY1" fmla="*/ 1714500 h 1714500"/>
              <a:gd name="connsiteX2" fmla="*/ 338138 w 823913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23913" h="1714500">
                <a:moveTo>
                  <a:pt x="823913" y="0"/>
                </a:moveTo>
                <a:lnTo>
                  <a:pt x="0" y="1714500"/>
                </a:lnTo>
                <a:lnTo>
                  <a:pt x="338138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0" name="Freeform: Shape 1019">
            <a:extLst>
              <a:ext uri="{FF2B5EF4-FFF2-40B4-BE49-F238E27FC236}">
                <a16:creationId xmlns:a16="http://schemas.microsoft.com/office/drawing/2014/main" id="{CAB41391-4CA4-EF99-C27A-05EE31DB784C}"/>
              </a:ext>
            </a:extLst>
          </xdr:cNvPr>
          <xdr:cNvSpPr/>
        </xdr:nvSpPr>
        <xdr:spPr>
          <a:xfrm>
            <a:off x="5991225" y="69180075"/>
            <a:ext cx="809625" cy="1714500"/>
          </a:xfrm>
          <a:custGeom>
            <a:avLst/>
            <a:gdLst>
              <a:gd name="connsiteX0" fmla="*/ 0 w 809625"/>
              <a:gd name="connsiteY0" fmla="*/ 0 h 1704975"/>
              <a:gd name="connsiteX1" fmla="*/ 809625 w 809625"/>
              <a:gd name="connsiteY1" fmla="*/ 1704975 h 1704975"/>
              <a:gd name="connsiteX2" fmla="*/ 490538 w 809625"/>
              <a:gd name="connsiteY2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1704975">
                <a:moveTo>
                  <a:pt x="0" y="0"/>
                </a:moveTo>
                <a:lnTo>
                  <a:pt x="809625" y="1704975"/>
                </a:lnTo>
                <a:lnTo>
                  <a:pt x="490538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76200</xdr:colOff>
      <xdr:row>500</xdr:row>
      <xdr:rowOff>80960</xdr:rowOff>
    </xdr:from>
    <xdr:to>
      <xdr:col>22</xdr:col>
      <xdr:colOff>9525</xdr:colOff>
      <xdr:row>521</xdr:row>
      <xdr:rowOff>66675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4A36F119-6A2A-482B-51A9-5E1C4ABC3225}"/>
            </a:ext>
          </a:extLst>
        </xdr:cNvPr>
        <xdr:cNvGrpSpPr/>
      </xdr:nvGrpSpPr>
      <xdr:grpSpPr>
        <a:xfrm>
          <a:off x="400050" y="72404285"/>
          <a:ext cx="3171825" cy="2986090"/>
          <a:chOff x="561975" y="72404285"/>
          <a:chExt cx="3171825" cy="2986090"/>
        </a:xfrm>
      </xdr:grpSpPr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589274BE-1F83-414F-A4CE-E2AAA3D92958}"/>
              </a:ext>
            </a:extLst>
          </xdr:cNvPr>
          <xdr:cNvSpPr/>
        </xdr:nvSpPr>
        <xdr:spPr>
          <a:xfrm>
            <a:off x="1138238" y="744712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2" name="Freeform: Shape 1021">
            <a:extLst>
              <a:ext uri="{FF2B5EF4-FFF2-40B4-BE49-F238E27FC236}">
                <a16:creationId xmlns:a16="http://schemas.microsoft.com/office/drawing/2014/main" id="{61D5B9BD-10F1-4B8B-BADB-413257EA9D3F}"/>
              </a:ext>
            </a:extLst>
          </xdr:cNvPr>
          <xdr:cNvSpPr/>
        </xdr:nvSpPr>
        <xdr:spPr>
          <a:xfrm>
            <a:off x="1295401" y="727519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25" name="Straight Connector 1024">
            <a:extLst>
              <a:ext uri="{FF2B5EF4-FFF2-40B4-BE49-F238E27FC236}">
                <a16:creationId xmlns:a16="http://schemas.microsoft.com/office/drawing/2014/main" id="{2F5DB21E-B95A-4712-9DA1-13A15648E890}"/>
              </a:ext>
            </a:extLst>
          </xdr:cNvPr>
          <xdr:cNvCxnSpPr/>
        </xdr:nvCxnSpPr>
        <xdr:spPr>
          <a:xfrm>
            <a:off x="1133475" y="744664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3B8C1FB9-0F48-4EC9-878C-241BDF02DAA3}"/>
              </a:ext>
            </a:extLst>
          </xdr:cNvPr>
          <xdr:cNvSpPr/>
        </xdr:nvSpPr>
        <xdr:spPr>
          <a:xfrm>
            <a:off x="3081338" y="744759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27" name="Straight Connector 1026">
            <a:extLst>
              <a:ext uri="{FF2B5EF4-FFF2-40B4-BE49-F238E27FC236}">
                <a16:creationId xmlns:a16="http://schemas.microsoft.com/office/drawing/2014/main" id="{8C6DB7FD-23BD-42D8-AE68-11A78C1EA649}"/>
              </a:ext>
            </a:extLst>
          </xdr:cNvPr>
          <xdr:cNvCxnSpPr/>
        </xdr:nvCxnSpPr>
        <xdr:spPr>
          <a:xfrm>
            <a:off x="3076575" y="744712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Connector 1027">
            <a:extLst>
              <a:ext uri="{FF2B5EF4-FFF2-40B4-BE49-F238E27FC236}">
                <a16:creationId xmlns:a16="http://schemas.microsoft.com/office/drawing/2014/main" id="{BA12A682-86EA-4438-BB40-E0A7F8DCFA50}"/>
              </a:ext>
            </a:extLst>
          </xdr:cNvPr>
          <xdr:cNvCxnSpPr/>
        </xdr:nvCxnSpPr>
        <xdr:spPr>
          <a:xfrm>
            <a:off x="576261" y="72751950"/>
            <a:ext cx="6477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Connector 1028">
            <a:extLst>
              <a:ext uri="{FF2B5EF4-FFF2-40B4-BE49-F238E27FC236}">
                <a16:creationId xmlns:a16="http://schemas.microsoft.com/office/drawing/2014/main" id="{C6EB6CA2-3D30-4E53-9630-56F3DD728BCC}"/>
              </a:ext>
            </a:extLst>
          </xdr:cNvPr>
          <xdr:cNvCxnSpPr/>
        </xdr:nvCxnSpPr>
        <xdr:spPr>
          <a:xfrm>
            <a:off x="647701" y="7267098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Connector 1029">
            <a:extLst>
              <a:ext uri="{FF2B5EF4-FFF2-40B4-BE49-F238E27FC236}">
                <a16:creationId xmlns:a16="http://schemas.microsoft.com/office/drawing/2014/main" id="{742899AD-9C74-4E2B-AC9C-5BFD51EA8FB0}"/>
              </a:ext>
            </a:extLst>
          </xdr:cNvPr>
          <xdr:cNvCxnSpPr/>
        </xdr:nvCxnSpPr>
        <xdr:spPr>
          <a:xfrm flipH="1">
            <a:off x="609600" y="727138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Connector 1030">
            <a:extLst>
              <a:ext uri="{FF2B5EF4-FFF2-40B4-BE49-F238E27FC236}">
                <a16:creationId xmlns:a16="http://schemas.microsoft.com/office/drawing/2014/main" id="{910A7BE7-00A7-4159-8B05-89A29FF24B51}"/>
              </a:ext>
            </a:extLst>
          </xdr:cNvPr>
          <xdr:cNvCxnSpPr/>
        </xdr:nvCxnSpPr>
        <xdr:spPr>
          <a:xfrm>
            <a:off x="561975" y="74466450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Connector 1031">
            <a:extLst>
              <a:ext uri="{FF2B5EF4-FFF2-40B4-BE49-F238E27FC236}">
                <a16:creationId xmlns:a16="http://schemas.microsoft.com/office/drawing/2014/main" id="{4B030C1C-BC98-42CB-A0C0-A1EB90DADF6C}"/>
              </a:ext>
            </a:extLst>
          </xdr:cNvPr>
          <xdr:cNvCxnSpPr/>
        </xdr:nvCxnSpPr>
        <xdr:spPr>
          <a:xfrm flipH="1">
            <a:off x="609600" y="7442834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Connector 1032">
            <a:extLst>
              <a:ext uri="{FF2B5EF4-FFF2-40B4-BE49-F238E27FC236}">
                <a16:creationId xmlns:a16="http://schemas.microsoft.com/office/drawing/2014/main" id="{413E00FA-630B-4FB3-BAC1-5BCB137CAA81}"/>
              </a:ext>
            </a:extLst>
          </xdr:cNvPr>
          <xdr:cNvCxnSpPr/>
        </xdr:nvCxnSpPr>
        <xdr:spPr>
          <a:xfrm>
            <a:off x="1295400" y="750903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Connector 1033">
            <a:extLst>
              <a:ext uri="{FF2B5EF4-FFF2-40B4-BE49-F238E27FC236}">
                <a16:creationId xmlns:a16="http://schemas.microsoft.com/office/drawing/2014/main" id="{3FACA520-23B0-4AD1-9E12-2945299A2751}"/>
              </a:ext>
            </a:extLst>
          </xdr:cNvPr>
          <xdr:cNvCxnSpPr/>
        </xdr:nvCxnSpPr>
        <xdr:spPr>
          <a:xfrm>
            <a:off x="1214439" y="753237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Connector 1034">
            <a:extLst>
              <a:ext uri="{FF2B5EF4-FFF2-40B4-BE49-F238E27FC236}">
                <a16:creationId xmlns:a16="http://schemas.microsoft.com/office/drawing/2014/main" id="{89B138CF-A652-4971-B8EE-E922F838A997}"/>
              </a:ext>
            </a:extLst>
          </xdr:cNvPr>
          <xdr:cNvCxnSpPr/>
        </xdr:nvCxnSpPr>
        <xdr:spPr>
          <a:xfrm flipH="1">
            <a:off x="1257302" y="75285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Connector 1035">
            <a:extLst>
              <a:ext uri="{FF2B5EF4-FFF2-40B4-BE49-F238E27FC236}">
                <a16:creationId xmlns:a16="http://schemas.microsoft.com/office/drawing/2014/main" id="{0FB06281-D070-44B6-B125-93A35A2AC715}"/>
              </a:ext>
            </a:extLst>
          </xdr:cNvPr>
          <xdr:cNvCxnSpPr/>
        </xdr:nvCxnSpPr>
        <xdr:spPr>
          <a:xfrm>
            <a:off x="3238503" y="751046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Connector 1036">
            <a:extLst>
              <a:ext uri="{FF2B5EF4-FFF2-40B4-BE49-F238E27FC236}">
                <a16:creationId xmlns:a16="http://schemas.microsoft.com/office/drawing/2014/main" id="{DDA2C7B1-9958-4E4D-A37A-3B107A1D3D74}"/>
              </a:ext>
            </a:extLst>
          </xdr:cNvPr>
          <xdr:cNvCxnSpPr/>
        </xdr:nvCxnSpPr>
        <xdr:spPr>
          <a:xfrm flipH="1">
            <a:off x="3200405" y="75285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Arrow Connector 1037">
            <a:extLst>
              <a:ext uri="{FF2B5EF4-FFF2-40B4-BE49-F238E27FC236}">
                <a16:creationId xmlns:a16="http://schemas.microsoft.com/office/drawing/2014/main" id="{CE0FB231-FA0B-49B9-9395-194B47E2D2F6}"/>
              </a:ext>
            </a:extLst>
          </xdr:cNvPr>
          <xdr:cNvCxnSpPr/>
        </xdr:nvCxnSpPr>
        <xdr:spPr>
          <a:xfrm flipV="1">
            <a:off x="3238501" y="74595031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Arrow Connector 1038">
            <a:extLst>
              <a:ext uri="{FF2B5EF4-FFF2-40B4-BE49-F238E27FC236}">
                <a16:creationId xmlns:a16="http://schemas.microsoft.com/office/drawing/2014/main" id="{E453D741-913D-46CD-94D1-D0011893D56A}"/>
              </a:ext>
            </a:extLst>
          </xdr:cNvPr>
          <xdr:cNvCxnSpPr/>
        </xdr:nvCxnSpPr>
        <xdr:spPr>
          <a:xfrm>
            <a:off x="838200" y="74475968"/>
            <a:ext cx="300037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Arrow Connector 1039">
            <a:extLst>
              <a:ext uri="{FF2B5EF4-FFF2-40B4-BE49-F238E27FC236}">
                <a16:creationId xmlns:a16="http://schemas.microsoft.com/office/drawing/2014/main" id="{66FB97F2-0360-45F7-BAA3-4473301DF2A4}"/>
              </a:ext>
            </a:extLst>
          </xdr:cNvPr>
          <xdr:cNvCxnSpPr/>
        </xdr:nvCxnSpPr>
        <xdr:spPr>
          <a:xfrm flipH="1">
            <a:off x="3424237" y="74471212"/>
            <a:ext cx="309563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Connector 1041">
            <a:extLst>
              <a:ext uri="{FF2B5EF4-FFF2-40B4-BE49-F238E27FC236}">
                <a16:creationId xmlns:a16="http://schemas.microsoft.com/office/drawing/2014/main" id="{35C8EC0E-F6FA-4FF2-B738-272349C4D909}"/>
              </a:ext>
            </a:extLst>
          </xdr:cNvPr>
          <xdr:cNvCxnSpPr/>
        </xdr:nvCxnSpPr>
        <xdr:spPr>
          <a:xfrm>
            <a:off x="971551" y="72670988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Connector 1042">
            <a:extLst>
              <a:ext uri="{FF2B5EF4-FFF2-40B4-BE49-F238E27FC236}">
                <a16:creationId xmlns:a16="http://schemas.microsoft.com/office/drawing/2014/main" id="{B79FADDD-0508-4529-8FF8-95FD94DAE446}"/>
              </a:ext>
            </a:extLst>
          </xdr:cNvPr>
          <xdr:cNvCxnSpPr/>
        </xdr:nvCxnSpPr>
        <xdr:spPr>
          <a:xfrm flipH="1">
            <a:off x="933451" y="7271385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Connector 1043">
            <a:extLst>
              <a:ext uri="{FF2B5EF4-FFF2-40B4-BE49-F238E27FC236}">
                <a16:creationId xmlns:a16="http://schemas.microsoft.com/office/drawing/2014/main" id="{EAFE8751-F8F8-4BD8-8A0B-A6186900708C}"/>
              </a:ext>
            </a:extLst>
          </xdr:cNvPr>
          <xdr:cNvCxnSpPr/>
        </xdr:nvCxnSpPr>
        <xdr:spPr>
          <a:xfrm flipH="1">
            <a:off x="933450" y="7442834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Connector 1044">
            <a:extLst>
              <a:ext uri="{FF2B5EF4-FFF2-40B4-BE49-F238E27FC236}">
                <a16:creationId xmlns:a16="http://schemas.microsoft.com/office/drawing/2014/main" id="{E650E832-45CE-45A7-9902-31A42D2F2B1B}"/>
              </a:ext>
            </a:extLst>
          </xdr:cNvPr>
          <xdr:cNvCxnSpPr/>
        </xdr:nvCxnSpPr>
        <xdr:spPr>
          <a:xfrm flipH="1">
            <a:off x="933451" y="732853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Connector 1046">
            <a:extLst>
              <a:ext uri="{FF2B5EF4-FFF2-40B4-BE49-F238E27FC236}">
                <a16:creationId xmlns:a16="http://schemas.microsoft.com/office/drawing/2014/main" id="{190CB254-875A-4886-96C7-F907136E4AEC}"/>
              </a:ext>
            </a:extLst>
          </xdr:cNvPr>
          <xdr:cNvCxnSpPr/>
        </xdr:nvCxnSpPr>
        <xdr:spPr>
          <a:xfrm>
            <a:off x="1295400" y="73323452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048" name="Straight Arrow Connector 1047">
            <a:extLst>
              <a:ext uri="{FF2B5EF4-FFF2-40B4-BE49-F238E27FC236}">
                <a16:creationId xmlns:a16="http://schemas.microsoft.com/office/drawing/2014/main" id="{6DA14844-0E51-47E4-BEFB-B93C6BCE2566}"/>
              </a:ext>
            </a:extLst>
          </xdr:cNvPr>
          <xdr:cNvCxnSpPr/>
        </xdr:nvCxnSpPr>
        <xdr:spPr>
          <a:xfrm flipV="1">
            <a:off x="1624012" y="73166287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Connector 1048">
            <a:extLst>
              <a:ext uri="{FF2B5EF4-FFF2-40B4-BE49-F238E27FC236}">
                <a16:creationId xmlns:a16="http://schemas.microsoft.com/office/drawing/2014/main" id="{E88D17AF-03BD-423B-ABB4-317A2847F94C}"/>
              </a:ext>
            </a:extLst>
          </xdr:cNvPr>
          <xdr:cNvCxnSpPr/>
        </xdr:nvCxnSpPr>
        <xdr:spPr>
          <a:xfrm>
            <a:off x="876300" y="73323450"/>
            <a:ext cx="328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Connector 1049">
            <a:extLst>
              <a:ext uri="{FF2B5EF4-FFF2-40B4-BE49-F238E27FC236}">
                <a16:creationId xmlns:a16="http://schemas.microsoft.com/office/drawing/2014/main" id="{5A1FDF36-C722-4835-8EB6-32E61F8FEF02}"/>
              </a:ext>
            </a:extLst>
          </xdr:cNvPr>
          <xdr:cNvCxnSpPr/>
        </xdr:nvCxnSpPr>
        <xdr:spPr>
          <a:xfrm>
            <a:off x="1295399" y="72404288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Connector 1050">
            <a:extLst>
              <a:ext uri="{FF2B5EF4-FFF2-40B4-BE49-F238E27FC236}">
                <a16:creationId xmlns:a16="http://schemas.microsoft.com/office/drawing/2014/main" id="{C4CD695E-DC51-4B69-A0EB-444F077F35AD}"/>
              </a:ext>
            </a:extLst>
          </xdr:cNvPr>
          <xdr:cNvCxnSpPr/>
        </xdr:nvCxnSpPr>
        <xdr:spPr>
          <a:xfrm>
            <a:off x="1228724" y="72466200"/>
            <a:ext cx="457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Connector 1051">
            <a:extLst>
              <a:ext uri="{FF2B5EF4-FFF2-40B4-BE49-F238E27FC236}">
                <a16:creationId xmlns:a16="http://schemas.microsoft.com/office/drawing/2014/main" id="{FA2B97FB-55C1-4641-B8DE-0B6886840884}"/>
              </a:ext>
            </a:extLst>
          </xdr:cNvPr>
          <xdr:cNvCxnSpPr/>
        </xdr:nvCxnSpPr>
        <xdr:spPr>
          <a:xfrm flipH="1">
            <a:off x="1257303" y="724281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Connector 1052">
            <a:extLst>
              <a:ext uri="{FF2B5EF4-FFF2-40B4-BE49-F238E27FC236}">
                <a16:creationId xmlns:a16="http://schemas.microsoft.com/office/drawing/2014/main" id="{B635A05A-5085-4605-B116-D1698A90C863}"/>
              </a:ext>
            </a:extLst>
          </xdr:cNvPr>
          <xdr:cNvCxnSpPr/>
        </xdr:nvCxnSpPr>
        <xdr:spPr>
          <a:xfrm>
            <a:off x="1619252" y="72404285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Connector 1053">
            <a:extLst>
              <a:ext uri="{FF2B5EF4-FFF2-40B4-BE49-F238E27FC236}">
                <a16:creationId xmlns:a16="http://schemas.microsoft.com/office/drawing/2014/main" id="{81A15941-C4E1-4525-84C6-5F629E8758AF}"/>
              </a:ext>
            </a:extLst>
          </xdr:cNvPr>
          <xdr:cNvCxnSpPr/>
        </xdr:nvCxnSpPr>
        <xdr:spPr>
          <a:xfrm flipH="1">
            <a:off x="1581156" y="7242809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Arrow Connector 1054">
            <a:extLst>
              <a:ext uri="{FF2B5EF4-FFF2-40B4-BE49-F238E27FC236}">
                <a16:creationId xmlns:a16="http://schemas.microsoft.com/office/drawing/2014/main" id="{57776FC1-114E-41F9-BBEC-4581BD2C8336}"/>
              </a:ext>
            </a:extLst>
          </xdr:cNvPr>
          <xdr:cNvCxnSpPr/>
        </xdr:nvCxnSpPr>
        <xdr:spPr>
          <a:xfrm flipV="1">
            <a:off x="1295399" y="7458551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9" name="Arc 1058">
            <a:extLst>
              <a:ext uri="{FF2B5EF4-FFF2-40B4-BE49-F238E27FC236}">
                <a16:creationId xmlns:a16="http://schemas.microsoft.com/office/drawing/2014/main" id="{E669AE6F-F8FE-492B-8BBD-AF6D75CA8B91}"/>
              </a:ext>
            </a:extLst>
          </xdr:cNvPr>
          <xdr:cNvSpPr/>
        </xdr:nvSpPr>
        <xdr:spPr>
          <a:xfrm rot="8054857">
            <a:off x="1028700" y="74285475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60" name="Arc 1059">
            <a:extLst>
              <a:ext uri="{FF2B5EF4-FFF2-40B4-BE49-F238E27FC236}">
                <a16:creationId xmlns:a16="http://schemas.microsoft.com/office/drawing/2014/main" id="{0ADDC2A6-EDEA-47E0-AEBF-1D20A407C05D}"/>
              </a:ext>
            </a:extLst>
          </xdr:cNvPr>
          <xdr:cNvSpPr/>
        </xdr:nvSpPr>
        <xdr:spPr>
          <a:xfrm rot="8054857">
            <a:off x="2971800" y="74299762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4763</xdr:colOff>
      <xdr:row>500</xdr:row>
      <xdr:rowOff>9525</xdr:rowOff>
    </xdr:from>
    <xdr:to>
      <xdr:col>42</xdr:col>
      <xdr:colOff>4763</xdr:colOff>
      <xdr:row>515</xdr:row>
      <xdr:rowOff>4763</xdr:rowOff>
    </xdr:to>
    <xdr:grpSp>
      <xdr:nvGrpSpPr>
        <xdr:cNvPr id="215" name="Group 214">
          <a:extLst>
            <a:ext uri="{FF2B5EF4-FFF2-40B4-BE49-F238E27FC236}">
              <a16:creationId xmlns:a16="http://schemas.microsoft.com/office/drawing/2014/main" id="{5599C56E-34F1-79D6-8510-3F4625696A37}"/>
            </a:ext>
          </a:extLst>
        </xdr:cNvPr>
        <xdr:cNvGrpSpPr/>
      </xdr:nvGrpSpPr>
      <xdr:grpSpPr>
        <a:xfrm>
          <a:off x="3890963" y="72332850"/>
          <a:ext cx="2914650" cy="2138363"/>
          <a:chOff x="4052888" y="72332850"/>
          <a:chExt cx="2914650" cy="2138363"/>
        </a:xfrm>
      </xdr:grpSpPr>
      <xdr:sp macro="" textlink="">
        <xdr:nvSpPr>
          <xdr:cNvPr id="1041" name="Freeform: Shape 1040">
            <a:extLst>
              <a:ext uri="{FF2B5EF4-FFF2-40B4-BE49-F238E27FC236}">
                <a16:creationId xmlns:a16="http://schemas.microsoft.com/office/drawing/2014/main" id="{6BC0D2CB-AB6D-4763-8445-52C059A9D450}"/>
              </a:ext>
            </a:extLst>
          </xdr:cNvPr>
          <xdr:cNvSpPr/>
        </xdr:nvSpPr>
        <xdr:spPr>
          <a:xfrm>
            <a:off x="4533897" y="72751950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56" name="Straight Connector 1055">
            <a:extLst>
              <a:ext uri="{FF2B5EF4-FFF2-40B4-BE49-F238E27FC236}">
                <a16:creationId xmlns:a16="http://schemas.microsoft.com/office/drawing/2014/main" id="{C4DFC7C2-0CA8-48F8-B585-40E8E0ED4F2E}"/>
              </a:ext>
            </a:extLst>
          </xdr:cNvPr>
          <xdr:cNvCxnSpPr/>
        </xdr:nvCxnSpPr>
        <xdr:spPr>
          <a:xfrm>
            <a:off x="4529138" y="73180574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1058" name="Freeform: Shape 1057">
            <a:extLst>
              <a:ext uri="{FF2B5EF4-FFF2-40B4-BE49-F238E27FC236}">
                <a16:creationId xmlns:a16="http://schemas.microsoft.com/office/drawing/2014/main" id="{E2662368-12E5-4751-AF7B-36C4CD2572FA}"/>
              </a:ext>
            </a:extLst>
          </xdr:cNvPr>
          <xdr:cNvSpPr/>
        </xdr:nvSpPr>
        <xdr:spPr>
          <a:xfrm>
            <a:off x="4533901" y="72332850"/>
            <a:ext cx="1943100" cy="1133475"/>
          </a:xfrm>
          <a:custGeom>
            <a:avLst/>
            <a:gdLst>
              <a:gd name="connsiteX0" fmla="*/ 0 w 1952625"/>
              <a:gd name="connsiteY0" fmla="*/ 1133475 h 1133475"/>
              <a:gd name="connsiteX1" fmla="*/ 1952625 w 1952625"/>
              <a:gd name="connsiteY1" fmla="*/ 0 h 1133475"/>
              <a:gd name="connsiteX2" fmla="*/ 1952625 w 1952625"/>
              <a:gd name="connsiteY2" fmla="*/ 419100 h 1133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52625" h="1133475">
                <a:moveTo>
                  <a:pt x="0" y="1133475"/>
                </a:moveTo>
                <a:lnTo>
                  <a:pt x="1952625" y="0"/>
                </a:lnTo>
                <a:lnTo>
                  <a:pt x="1952625" y="4191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1" name="Freeform: Shape 1060">
            <a:extLst>
              <a:ext uri="{FF2B5EF4-FFF2-40B4-BE49-F238E27FC236}">
                <a16:creationId xmlns:a16="http://schemas.microsoft.com/office/drawing/2014/main" id="{44569870-809F-24C5-85BE-CF6979DB5E68}"/>
              </a:ext>
            </a:extLst>
          </xdr:cNvPr>
          <xdr:cNvSpPr/>
        </xdr:nvSpPr>
        <xdr:spPr>
          <a:xfrm>
            <a:off x="4052888" y="72751950"/>
            <a:ext cx="1076325" cy="1714500"/>
          </a:xfrm>
          <a:custGeom>
            <a:avLst/>
            <a:gdLst>
              <a:gd name="connsiteX0" fmla="*/ 809625 w 1076325"/>
              <a:gd name="connsiteY0" fmla="*/ 0 h 1714500"/>
              <a:gd name="connsiteX1" fmla="*/ 1076325 w 1076325"/>
              <a:gd name="connsiteY1" fmla="*/ 433388 h 1714500"/>
              <a:gd name="connsiteX2" fmla="*/ 0 w 1076325"/>
              <a:gd name="connsiteY2" fmla="*/ 433388 h 1714500"/>
              <a:gd name="connsiteX3" fmla="*/ 800100 w 1076325"/>
              <a:gd name="connsiteY3" fmla="*/ 1714500 h 1714500"/>
              <a:gd name="connsiteX4" fmla="*/ 481012 w 1076325"/>
              <a:gd name="connsiteY4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76325" h="1714500">
                <a:moveTo>
                  <a:pt x="809625" y="0"/>
                </a:moveTo>
                <a:lnTo>
                  <a:pt x="1076325" y="433388"/>
                </a:lnTo>
                <a:lnTo>
                  <a:pt x="0" y="433388"/>
                </a:lnTo>
                <a:lnTo>
                  <a:pt x="800100" y="1714500"/>
                </a:lnTo>
                <a:lnTo>
                  <a:pt x="481012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2" name="Freeform: Shape 1061">
            <a:extLst>
              <a:ext uri="{FF2B5EF4-FFF2-40B4-BE49-F238E27FC236}">
                <a16:creationId xmlns:a16="http://schemas.microsoft.com/office/drawing/2014/main" id="{26534852-BCAE-B8C7-2D80-A03692AE60AE}"/>
              </a:ext>
            </a:extLst>
          </xdr:cNvPr>
          <xdr:cNvSpPr/>
        </xdr:nvSpPr>
        <xdr:spPr>
          <a:xfrm>
            <a:off x="5986463" y="72747188"/>
            <a:ext cx="981075" cy="1714500"/>
          </a:xfrm>
          <a:custGeom>
            <a:avLst/>
            <a:gdLst>
              <a:gd name="connsiteX0" fmla="*/ 490537 w 981075"/>
              <a:gd name="connsiteY0" fmla="*/ 0 h 1714500"/>
              <a:gd name="connsiteX1" fmla="*/ 981075 w 981075"/>
              <a:gd name="connsiteY1" fmla="*/ 0 h 1714500"/>
              <a:gd name="connsiteX2" fmla="*/ 0 w 981075"/>
              <a:gd name="connsiteY2" fmla="*/ 1714500 h 1714500"/>
              <a:gd name="connsiteX3" fmla="*/ 485775 w 981075"/>
              <a:gd name="connsiteY3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1075" h="1714500">
                <a:moveTo>
                  <a:pt x="490537" y="0"/>
                </a:moveTo>
                <a:lnTo>
                  <a:pt x="981075" y="0"/>
                </a:lnTo>
                <a:lnTo>
                  <a:pt x="0" y="1714500"/>
                </a:lnTo>
                <a:lnTo>
                  <a:pt x="485775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76191</xdr:colOff>
      <xdr:row>527</xdr:row>
      <xdr:rowOff>142863</xdr:rowOff>
    </xdr:from>
    <xdr:to>
      <xdr:col>24</xdr:col>
      <xdr:colOff>80962</xdr:colOff>
      <xdr:row>552</xdr:row>
      <xdr:rowOff>66675</xdr:rowOff>
    </xdr:to>
    <xdr:grpSp>
      <xdr:nvGrpSpPr>
        <xdr:cNvPr id="216" name="Group 215">
          <a:extLst>
            <a:ext uri="{FF2B5EF4-FFF2-40B4-BE49-F238E27FC236}">
              <a16:creationId xmlns:a16="http://schemas.microsoft.com/office/drawing/2014/main" id="{2BE978DB-E2B8-8A37-9E90-050B789076D1}"/>
            </a:ext>
          </a:extLst>
        </xdr:cNvPr>
        <xdr:cNvGrpSpPr/>
      </xdr:nvGrpSpPr>
      <xdr:grpSpPr>
        <a:xfrm>
          <a:off x="400041" y="76761963"/>
          <a:ext cx="3567121" cy="3495687"/>
          <a:chOff x="561966" y="76761963"/>
          <a:chExt cx="3567121" cy="3495687"/>
        </a:xfrm>
      </xdr:grpSpPr>
      <xdr:sp macro="" textlink="">
        <xdr:nvSpPr>
          <xdr:cNvPr id="1107" name="Freeform: Shape 1106">
            <a:extLst>
              <a:ext uri="{FF2B5EF4-FFF2-40B4-BE49-F238E27FC236}">
                <a16:creationId xmlns:a16="http://schemas.microsoft.com/office/drawing/2014/main" id="{3B13C8D8-B58B-8FBA-CE11-40C694384517}"/>
              </a:ext>
            </a:extLst>
          </xdr:cNvPr>
          <xdr:cNvSpPr/>
        </xdr:nvSpPr>
        <xdr:spPr>
          <a:xfrm>
            <a:off x="1295400" y="77185838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9BC00022-E5A2-45FB-BEE8-EBAA869EA292}"/>
              </a:ext>
            </a:extLst>
          </xdr:cNvPr>
          <xdr:cNvSpPr/>
        </xdr:nvSpPr>
        <xdr:spPr>
          <a:xfrm>
            <a:off x="1138238" y="793384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65" name="Oval 1064">
            <a:extLst>
              <a:ext uri="{FF2B5EF4-FFF2-40B4-BE49-F238E27FC236}">
                <a16:creationId xmlns:a16="http://schemas.microsoft.com/office/drawing/2014/main" id="{2FE8C812-2995-496B-8AF3-688C92E1A3B5}"/>
              </a:ext>
            </a:extLst>
          </xdr:cNvPr>
          <xdr:cNvSpPr/>
        </xdr:nvSpPr>
        <xdr:spPr>
          <a:xfrm>
            <a:off x="1243014" y="792241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66" name="Oval 1065">
            <a:extLst>
              <a:ext uri="{FF2B5EF4-FFF2-40B4-BE49-F238E27FC236}">
                <a16:creationId xmlns:a16="http://schemas.microsoft.com/office/drawing/2014/main" id="{330EF416-CB32-431D-9176-70AC713D3447}"/>
              </a:ext>
            </a:extLst>
          </xdr:cNvPr>
          <xdr:cNvSpPr/>
        </xdr:nvSpPr>
        <xdr:spPr>
          <a:xfrm>
            <a:off x="3186114" y="7922894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67" name="Straight Connector 1066">
            <a:extLst>
              <a:ext uri="{FF2B5EF4-FFF2-40B4-BE49-F238E27FC236}">
                <a16:creationId xmlns:a16="http://schemas.microsoft.com/office/drawing/2014/main" id="{BCBE9876-6D86-47C3-B75E-0E463E7F8E90}"/>
              </a:ext>
            </a:extLst>
          </xdr:cNvPr>
          <xdr:cNvCxnSpPr/>
        </xdr:nvCxnSpPr>
        <xdr:spPr>
          <a:xfrm>
            <a:off x="1133475" y="793337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FCEC4795-0C1F-4543-95CF-D089DFD3BB81}"/>
              </a:ext>
            </a:extLst>
          </xdr:cNvPr>
          <xdr:cNvSpPr/>
        </xdr:nvSpPr>
        <xdr:spPr>
          <a:xfrm>
            <a:off x="3081338" y="793432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69" name="Straight Connector 1068">
            <a:extLst>
              <a:ext uri="{FF2B5EF4-FFF2-40B4-BE49-F238E27FC236}">
                <a16:creationId xmlns:a16="http://schemas.microsoft.com/office/drawing/2014/main" id="{67ECD5B0-F2C6-4166-A0CA-8ACA5DBB2E7B}"/>
              </a:ext>
            </a:extLst>
          </xdr:cNvPr>
          <xdr:cNvCxnSpPr/>
        </xdr:nvCxnSpPr>
        <xdr:spPr>
          <a:xfrm>
            <a:off x="3076575" y="793384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0" name="Straight Arrow Connector 1069">
            <a:extLst>
              <a:ext uri="{FF2B5EF4-FFF2-40B4-BE49-F238E27FC236}">
                <a16:creationId xmlns:a16="http://schemas.microsoft.com/office/drawing/2014/main" id="{A775E805-34E8-447E-AB5E-2FA78EF4C86F}"/>
              </a:ext>
            </a:extLst>
          </xdr:cNvPr>
          <xdr:cNvCxnSpPr/>
        </xdr:nvCxnSpPr>
        <xdr:spPr>
          <a:xfrm>
            <a:off x="1295401" y="767714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1" name="Straight Connector 1070">
            <a:extLst>
              <a:ext uri="{FF2B5EF4-FFF2-40B4-BE49-F238E27FC236}">
                <a16:creationId xmlns:a16="http://schemas.microsoft.com/office/drawing/2014/main" id="{B76F781F-8A21-45C0-AE3B-8F51DEC5D3DF}"/>
              </a:ext>
            </a:extLst>
          </xdr:cNvPr>
          <xdr:cNvCxnSpPr/>
        </xdr:nvCxnSpPr>
        <xdr:spPr>
          <a:xfrm>
            <a:off x="1290639" y="76761963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2" name="Straight Arrow Connector 1071">
            <a:extLst>
              <a:ext uri="{FF2B5EF4-FFF2-40B4-BE49-F238E27FC236}">
                <a16:creationId xmlns:a16="http://schemas.microsoft.com/office/drawing/2014/main" id="{C9277310-4E2C-42A6-AD44-7311E7D32A88}"/>
              </a:ext>
            </a:extLst>
          </xdr:cNvPr>
          <xdr:cNvCxnSpPr/>
        </xdr:nvCxnSpPr>
        <xdr:spPr>
          <a:xfrm>
            <a:off x="1457326" y="767714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3" name="Straight Arrow Connector 1072">
            <a:extLst>
              <a:ext uri="{FF2B5EF4-FFF2-40B4-BE49-F238E27FC236}">
                <a16:creationId xmlns:a16="http://schemas.microsoft.com/office/drawing/2014/main" id="{6906ACE7-BBE4-4EA6-BA27-A60075632C38}"/>
              </a:ext>
            </a:extLst>
          </xdr:cNvPr>
          <xdr:cNvCxnSpPr/>
        </xdr:nvCxnSpPr>
        <xdr:spPr>
          <a:xfrm>
            <a:off x="1619252" y="767714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4" name="Straight Arrow Connector 1073">
            <a:extLst>
              <a:ext uri="{FF2B5EF4-FFF2-40B4-BE49-F238E27FC236}">
                <a16:creationId xmlns:a16="http://schemas.microsoft.com/office/drawing/2014/main" id="{0E29AD92-5F71-4648-8F02-CD86826F39AE}"/>
              </a:ext>
            </a:extLst>
          </xdr:cNvPr>
          <xdr:cNvCxnSpPr/>
        </xdr:nvCxnSpPr>
        <xdr:spPr>
          <a:xfrm>
            <a:off x="1781177" y="767714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Straight Arrow Connector 1074">
            <a:extLst>
              <a:ext uri="{FF2B5EF4-FFF2-40B4-BE49-F238E27FC236}">
                <a16:creationId xmlns:a16="http://schemas.microsoft.com/office/drawing/2014/main" id="{9D56A3BD-9368-4E9B-8DE1-2EE6A82317ED}"/>
              </a:ext>
            </a:extLst>
          </xdr:cNvPr>
          <xdr:cNvCxnSpPr/>
        </xdr:nvCxnSpPr>
        <xdr:spPr>
          <a:xfrm>
            <a:off x="1943101" y="7676672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Straight Arrow Connector 1075">
            <a:extLst>
              <a:ext uri="{FF2B5EF4-FFF2-40B4-BE49-F238E27FC236}">
                <a16:creationId xmlns:a16="http://schemas.microsoft.com/office/drawing/2014/main" id="{42518D86-1151-4467-B519-3C49124181A9}"/>
              </a:ext>
            </a:extLst>
          </xdr:cNvPr>
          <xdr:cNvCxnSpPr/>
        </xdr:nvCxnSpPr>
        <xdr:spPr>
          <a:xfrm>
            <a:off x="2105026" y="7676672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Arrow Connector 1076">
            <a:extLst>
              <a:ext uri="{FF2B5EF4-FFF2-40B4-BE49-F238E27FC236}">
                <a16:creationId xmlns:a16="http://schemas.microsoft.com/office/drawing/2014/main" id="{E1E3377B-D36E-401D-9A96-78B72122BDD6}"/>
              </a:ext>
            </a:extLst>
          </xdr:cNvPr>
          <xdr:cNvCxnSpPr/>
        </xdr:nvCxnSpPr>
        <xdr:spPr>
          <a:xfrm>
            <a:off x="2266952" y="7676672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Arrow Connector 1077">
            <a:extLst>
              <a:ext uri="{FF2B5EF4-FFF2-40B4-BE49-F238E27FC236}">
                <a16:creationId xmlns:a16="http://schemas.microsoft.com/office/drawing/2014/main" id="{CF8F9877-D3B6-485B-B186-DF15D6423BF5}"/>
              </a:ext>
            </a:extLst>
          </xdr:cNvPr>
          <xdr:cNvCxnSpPr/>
        </xdr:nvCxnSpPr>
        <xdr:spPr>
          <a:xfrm>
            <a:off x="2428877" y="7676672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Arrow Connector 1078">
            <a:extLst>
              <a:ext uri="{FF2B5EF4-FFF2-40B4-BE49-F238E27FC236}">
                <a16:creationId xmlns:a16="http://schemas.microsoft.com/office/drawing/2014/main" id="{7575AC7E-84E0-47DB-9960-820CE990906E}"/>
              </a:ext>
            </a:extLst>
          </xdr:cNvPr>
          <xdr:cNvCxnSpPr/>
        </xdr:nvCxnSpPr>
        <xdr:spPr>
          <a:xfrm>
            <a:off x="2590800" y="7677148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Arrow Connector 1079">
            <a:extLst>
              <a:ext uri="{FF2B5EF4-FFF2-40B4-BE49-F238E27FC236}">
                <a16:creationId xmlns:a16="http://schemas.microsoft.com/office/drawing/2014/main" id="{666A1024-2502-479E-AEC8-53FCCA5ED5E6}"/>
              </a:ext>
            </a:extLst>
          </xdr:cNvPr>
          <xdr:cNvCxnSpPr/>
        </xdr:nvCxnSpPr>
        <xdr:spPr>
          <a:xfrm>
            <a:off x="2752725" y="7677148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Arrow Connector 1080">
            <a:extLst>
              <a:ext uri="{FF2B5EF4-FFF2-40B4-BE49-F238E27FC236}">
                <a16:creationId xmlns:a16="http://schemas.microsoft.com/office/drawing/2014/main" id="{96F42652-611C-4DC2-AC3A-E89C3ECD5959}"/>
              </a:ext>
            </a:extLst>
          </xdr:cNvPr>
          <xdr:cNvCxnSpPr/>
        </xdr:nvCxnSpPr>
        <xdr:spPr>
          <a:xfrm>
            <a:off x="2914651" y="7677148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2" name="Straight Arrow Connector 1081">
            <a:extLst>
              <a:ext uri="{FF2B5EF4-FFF2-40B4-BE49-F238E27FC236}">
                <a16:creationId xmlns:a16="http://schemas.microsoft.com/office/drawing/2014/main" id="{1A9239B6-F965-44AF-97FA-17EB425397D1}"/>
              </a:ext>
            </a:extLst>
          </xdr:cNvPr>
          <xdr:cNvCxnSpPr/>
        </xdr:nvCxnSpPr>
        <xdr:spPr>
          <a:xfrm>
            <a:off x="3076576" y="7677148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3" name="Straight Arrow Connector 1082">
            <a:extLst>
              <a:ext uri="{FF2B5EF4-FFF2-40B4-BE49-F238E27FC236}">
                <a16:creationId xmlns:a16="http://schemas.microsoft.com/office/drawing/2014/main" id="{CDE83299-0809-4B1F-8D27-2E6791B16A44}"/>
              </a:ext>
            </a:extLst>
          </xdr:cNvPr>
          <xdr:cNvCxnSpPr/>
        </xdr:nvCxnSpPr>
        <xdr:spPr>
          <a:xfrm>
            <a:off x="3238501" y="7677148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96CB7611-F5AF-4ADF-9F20-FB053E77416A}"/>
              </a:ext>
            </a:extLst>
          </xdr:cNvPr>
          <xdr:cNvCxnSpPr/>
        </xdr:nvCxnSpPr>
        <xdr:spPr>
          <a:xfrm>
            <a:off x="561975" y="7761922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Connector 1084">
            <a:extLst>
              <a:ext uri="{FF2B5EF4-FFF2-40B4-BE49-F238E27FC236}">
                <a16:creationId xmlns:a16="http://schemas.microsoft.com/office/drawing/2014/main" id="{5E4CDC8B-D7C9-4E9C-8D89-B20CA2AB3641}"/>
              </a:ext>
            </a:extLst>
          </xdr:cNvPr>
          <xdr:cNvCxnSpPr/>
        </xdr:nvCxnSpPr>
        <xdr:spPr>
          <a:xfrm>
            <a:off x="647701" y="7711440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Connector 1085">
            <a:extLst>
              <a:ext uri="{FF2B5EF4-FFF2-40B4-BE49-F238E27FC236}">
                <a16:creationId xmlns:a16="http://schemas.microsoft.com/office/drawing/2014/main" id="{FB71EF82-291D-45B8-8CF1-CA988E5C21D6}"/>
              </a:ext>
            </a:extLst>
          </xdr:cNvPr>
          <xdr:cNvCxnSpPr/>
        </xdr:nvCxnSpPr>
        <xdr:spPr>
          <a:xfrm flipH="1">
            <a:off x="609600" y="775811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Straight Connector 1086">
            <a:extLst>
              <a:ext uri="{FF2B5EF4-FFF2-40B4-BE49-F238E27FC236}">
                <a16:creationId xmlns:a16="http://schemas.microsoft.com/office/drawing/2014/main" id="{C8CAED49-3753-4E5A-84BF-3E3B5FA106D9}"/>
              </a:ext>
            </a:extLst>
          </xdr:cNvPr>
          <xdr:cNvCxnSpPr/>
        </xdr:nvCxnSpPr>
        <xdr:spPr>
          <a:xfrm>
            <a:off x="561976" y="793337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Straight Connector 1087">
            <a:extLst>
              <a:ext uri="{FF2B5EF4-FFF2-40B4-BE49-F238E27FC236}">
                <a16:creationId xmlns:a16="http://schemas.microsoft.com/office/drawing/2014/main" id="{1439A71E-46D7-4468-BB45-4047E97D0FAF}"/>
              </a:ext>
            </a:extLst>
          </xdr:cNvPr>
          <xdr:cNvCxnSpPr/>
        </xdr:nvCxnSpPr>
        <xdr:spPr>
          <a:xfrm flipH="1">
            <a:off x="609601" y="792956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9" name="Straight Connector 1088">
            <a:extLst>
              <a:ext uri="{FF2B5EF4-FFF2-40B4-BE49-F238E27FC236}">
                <a16:creationId xmlns:a16="http://schemas.microsoft.com/office/drawing/2014/main" id="{A39D6CCA-BD30-4476-B0D8-8119432BAE61}"/>
              </a:ext>
            </a:extLst>
          </xdr:cNvPr>
          <xdr:cNvCxnSpPr/>
        </xdr:nvCxnSpPr>
        <xdr:spPr>
          <a:xfrm>
            <a:off x="1295400" y="799576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Straight Connector 1089">
            <a:extLst>
              <a:ext uri="{FF2B5EF4-FFF2-40B4-BE49-F238E27FC236}">
                <a16:creationId xmlns:a16="http://schemas.microsoft.com/office/drawing/2014/main" id="{458CCA35-C1BE-41EF-A9BE-BDDC04A9AF91}"/>
              </a:ext>
            </a:extLst>
          </xdr:cNvPr>
          <xdr:cNvCxnSpPr/>
        </xdr:nvCxnSpPr>
        <xdr:spPr>
          <a:xfrm>
            <a:off x="1214439" y="801909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1" name="Straight Connector 1090">
            <a:extLst>
              <a:ext uri="{FF2B5EF4-FFF2-40B4-BE49-F238E27FC236}">
                <a16:creationId xmlns:a16="http://schemas.microsoft.com/office/drawing/2014/main" id="{FDE42A98-3B60-4DD0-B78F-1EF9968A3CD6}"/>
              </a:ext>
            </a:extLst>
          </xdr:cNvPr>
          <xdr:cNvCxnSpPr/>
        </xdr:nvCxnSpPr>
        <xdr:spPr>
          <a:xfrm flipH="1">
            <a:off x="1257302" y="801528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2" name="Straight Connector 1091">
            <a:extLst>
              <a:ext uri="{FF2B5EF4-FFF2-40B4-BE49-F238E27FC236}">
                <a16:creationId xmlns:a16="http://schemas.microsoft.com/office/drawing/2014/main" id="{15893E57-8342-4F65-8BA4-58AA584ADBED}"/>
              </a:ext>
            </a:extLst>
          </xdr:cNvPr>
          <xdr:cNvCxnSpPr/>
        </xdr:nvCxnSpPr>
        <xdr:spPr>
          <a:xfrm>
            <a:off x="3238503" y="799719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Connector 1092">
            <a:extLst>
              <a:ext uri="{FF2B5EF4-FFF2-40B4-BE49-F238E27FC236}">
                <a16:creationId xmlns:a16="http://schemas.microsoft.com/office/drawing/2014/main" id="{0A09B9DE-BB7F-4BA2-ACDA-2E4AF2B1BD91}"/>
              </a:ext>
            </a:extLst>
          </xdr:cNvPr>
          <xdr:cNvCxnSpPr/>
        </xdr:nvCxnSpPr>
        <xdr:spPr>
          <a:xfrm flipH="1">
            <a:off x="3200405" y="801528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Arrow Connector 1093">
            <a:extLst>
              <a:ext uri="{FF2B5EF4-FFF2-40B4-BE49-F238E27FC236}">
                <a16:creationId xmlns:a16="http://schemas.microsoft.com/office/drawing/2014/main" id="{133B1603-1AFD-4016-9A72-F5F6200734B8}"/>
              </a:ext>
            </a:extLst>
          </xdr:cNvPr>
          <xdr:cNvCxnSpPr/>
        </xdr:nvCxnSpPr>
        <xdr:spPr>
          <a:xfrm flipV="1">
            <a:off x="1295400" y="794575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Arrow Connector 1094">
            <a:extLst>
              <a:ext uri="{FF2B5EF4-FFF2-40B4-BE49-F238E27FC236}">
                <a16:creationId xmlns:a16="http://schemas.microsoft.com/office/drawing/2014/main" id="{37A6BC2B-5D31-4D79-97A8-EF385504981C}"/>
              </a:ext>
            </a:extLst>
          </xdr:cNvPr>
          <xdr:cNvCxnSpPr/>
        </xdr:nvCxnSpPr>
        <xdr:spPr>
          <a:xfrm flipV="1">
            <a:off x="3238500" y="794575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Arrow Connector 1095">
            <a:extLst>
              <a:ext uri="{FF2B5EF4-FFF2-40B4-BE49-F238E27FC236}">
                <a16:creationId xmlns:a16="http://schemas.microsoft.com/office/drawing/2014/main" id="{2409D6DE-FD82-4850-B2F2-1D8CB69AB774}"/>
              </a:ext>
            </a:extLst>
          </xdr:cNvPr>
          <xdr:cNvCxnSpPr/>
        </xdr:nvCxnSpPr>
        <xdr:spPr>
          <a:xfrm>
            <a:off x="823913" y="793337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Arrow Connector 1096">
            <a:extLst>
              <a:ext uri="{FF2B5EF4-FFF2-40B4-BE49-F238E27FC236}">
                <a16:creationId xmlns:a16="http://schemas.microsoft.com/office/drawing/2014/main" id="{39A0E126-89CC-4EAE-8469-4AACB76B8940}"/>
              </a:ext>
            </a:extLst>
          </xdr:cNvPr>
          <xdr:cNvCxnSpPr/>
        </xdr:nvCxnSpPr>
        <xdr:spPr>
          <a:xfrm flipH="1">
            <a:off x="3419474" y="793337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A7F57BDF-1531-449C-92D3-5783B3D36721}"/>
              </a:ext>
            </a:extLst>
          </xdr:cNvPr>
          <xdr:cNvCxnSpPr/>
        </xdr:nvCxnSpPr>
        <xdr:spPr>
          <a:xfrm>
            <a:off x="1290638" y="77004856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Connector 1107">
            <a:extLst>
              <a:ext uri="{FF2B5EF4-FFF2-40B4-BE49-F238E27FC236}">
                <a16:creationId xmlns:a16="http://schemas.microsoft.com/office/drawing/2014/main" id="{1A6117FC-92D4-4A24-B6FF-F1C969BD4C23}"/>
              </a:ext>
            </a:extLst>
          </xdr:cNvPr>
          <xdr:cNvCxnSpPr/>
        </xdr:nvCxnSpPr>
        <xdr:spPr>
          <a:xfrm>
            <a:off x="561966" y="77190601"/>
            <a:ext cx="227648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Connector 1108">
            <a:extLst>
              <a:ext uri="{FF2B5EF4-FFF2-40B4-BE49-F238E27FC236}">
                <a16:creationId xmlns:a16="http://schemas.microsoft.com/office/drawing/2014/main" id="{5227BF26-CF1A-4E8B-B747-0340BCC5DA72}"/>
              </a:ext>
            </a:extLst>
          </xdr:cNvPr>
          <xdr:cNvCxnSpPr/>
        </xdr:nvCxnSpPr>
        <xdr:spPr>
          <a:xfrm flipH="1">
            <a:off x="609591" y="771525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Connector 1110">
            <a:extLst>
              <a:ext uri="{FF2B5EF4-FFF2-40B4-BE49-F238E27FC236}">
                <a16:creationId xmlns:a16="http://schemas.microsoft.com/office/drawing/2014/main" id="{C5BE2282-D189-46F3-87A0-0516004AE4B7}"/>
              </a:ext>
            </a:extLst>
          </xdr:cNvPr>
          <xdr:cNvCxnSpPr/>
        </xdr:nvCxnSpPr>
        <xdr:spPr>
          <a:xfrm>
            <a:off x="4048134" y="7711440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Connector 1111">
            <a:extLst>
              <a:ext uri="{FF2B5EF4-FFF2-40B4-BE49-F238E27FC236}">
                <a16:creationId xmlns:a16="http://schemas.microsoft.com/office/drawing/2014/main" id="{E5B0DBF8-9D32-4530-8295-584A5633D5DD}"/>
              </a:ext>
            </a:extLst>
          </xdr:cNvPr>
          <xdr:cNvCxnSpPr/>
        </xdr:nvCxnSpPr>
        <xdr:spPr>
          <a:xfrm>
            <a:off x="3890968" y="793337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Connector 1112">
            <a:extLst>
              <a:ext uri="{FF2B5EF4-FFF2-40B4-BE49-F238E27FC236}">
                <a16:creationId xmlns:a16="http://schemas.microsoft.com/office/drawing/2014/main" id="{F29EF81D-28BD-45D1-AE61-E3D662857CE7}"/>
              </a:ext>
            </a:extLst>
          </xdr:cNvPr>
          <xdr:cNvCxnSpPr/>
        </xdr:nvCxnSpPr>
        <xdr:spPr>
          <a:xfrm flipH="1">
            <a:off x="4010034" y="792956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Connector 1113">
            <a:extLst>
              <a:ext uri="{FF2B5EF4-FFF2-40B4-BE49-F238E27FC236}">
                <a16:creationId xmlns:a16="http://schemas.microsoft.com/office/drawing/2014/main" id="{8B779F92-35B0-49A4-96F7-2851A23B3102}"/>
              </a:ext>
            </a:extLst>
          </xdr:cNvPr>
          <xdr:cNvCxnSpPr/>
        </xdr:nvCxnSpPr>
        <xdr:spPr>
          <a:xfrm>
            <a:off x="3352800" y="77190601"/>
            <a:ext cx="776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Connector 1114">
            <a:extLst>
              <a:ext uri="{FF2B5EF4-FFF2-40B4-BE49-F238E27FC236}">
                <a16:creationId xmlns:a16="http://schemas.microsoft.com/office/drawing/2014/main" id="{AE7503B2-524A-4C1C-B718-BC0CABA09218}"/>
              </a:ext>
            </a:extLst>
          </xdr:cNvPr>
          <xdr:cNvCxnSpPr/>
        </xdr:nvCxnSpPr>
        <xdr:spPr>
          <a:xfrm flipH="1">
            <a:off x="4010024" y="771525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4763</xdr:colOff>
      <xdr:row>527</xdr:row>
      <xdr:rowOff>33338</xdr:rowOff>
    </xdr:from>
    <xdr:to>
      <xdr:col>46</xdr:col>
      <xdr:colOff>9525</xdr:colOff>
      <xdr:row>546</xdr:row>
      <xdr:rowOff>4763</xdr:rowOff>
    </xdr:to>
    <xdr:grpSp>
      <xdr:nvGrpSpPr>
        <xdr:cNvPr id="232" name="Group 231">
          <a:extLst>
            <a:ext uri="{FF2B5EF4-FFF2-40B4-BE49-F238E27FC236}">
              <a16:creationId xmlns:a16="http://schemas.microsoft.com/office/drawing/2014/main" id="{69E3F794-91BF-FF47-DCAB-2E35162EE69B}"/>
            </a:ext>
          </a:extLst>
        </xdr:cNvPr>
        <xdr:cNvGrpSpPr/>
      </xdr:nvGrpSpPr>
      <xdr:grpSpPr>
        <a:xfrm>
          <a:off x="4538663" y="76652438"/>
          <a:ext cx="2919412" cy="2686050"/>
          <a:chOff x="4700588" y="76652438"/>
          <a:chExt cx="2919412" cy="2686050"/>
        </a:xfrm>
      </xdr:grpSpPr>
      <xdr:sp macro="" textlink="">
        <xdr:nvSpPr>
          <xdr:cNvPr id="1117" name="Freeform: Shape 1116">
            <a:extLst>
              <a:ext uri="{FF2B5EF4-FFF2-40B4-BE49-F238E27FC236}">
                <a16:creationId xmlns:a16="http://schemas.microsoft.com/office/drawing/2014/main" id="{562EF3A1-407F-4974-8301-8F8EA78544A2}"/>
              </a:ext>
            </a:extLst>
          </xdr:cNvPr>
          <xdr:cNvSpPr/>
        </xdr:nvSpPr>
        <xdr:spPr>
          <a:xfrm>
            <a:off x="5181605" y="77185827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8" name="Freeform: Shape 1117">
            <a:extLst>
              <a:ext uri="{FF2B5EF4-FFF2-40B4-BE49-F238E27FC236}">
                <a16:creationId xmlns:a16="http://schemas.microsoft.com/office/drawing/2014/main" id="{60E8013D-5380-F070-95A7-4A35188EC6E6}"/>
              </a:ext>
            </a:extLst>
          </xdr:cNvPr>
          <xdr:cNvSpPr/>
        </xdr:nvSpPr>
        <xdr:spPr>
          <a:xfrm>
            <a:off x="4700588" y="77619225"/>
            <a:ext cx="481012" cy="1719263"/>
          </a:xfrm>
          <a:custGeom>
            <a:avLst/>
            <a:gdLst>
              <a:gd name="connsiteX0" fmla="*/ 481012 w 481012"/>
              <a:gd name="connsiteY0" fmla="*/ 0 h 1719263"/>
              <a:gd name="connsiteX1" fmla="*/ 0 w 481012"/>
              <a:gd name="connsiteY1" fmla="*/ 0 h 1719263"/>
              <a:gd name="connsiteX2" fmla="*/ 481012 w 481012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1012" h="1719263">
                <a:moveTo>
                  <a:pt x="481012" y="0"/>
                </a:moveTo>
                <a:lnTo>
                  <a:pt x="0" y="0"/>
                </a:lnTo>
                <a:lnTo>
                  <a:pt x="481012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9" name="Freeform: Shape 1118">
            <a:extLst>
              <a:ext uri="{FF2B5EF4-FFF2-40B4-BE49-F238E27FC236}">
                <a16:creationId xmlns:a16="http://schemas.microsoft.com/office/drawing/2014/main" id="{6B90C8F9-6090-614B-1103-908F93C3013F}"/>
              </a:ext>
            </a:extLst>
          </xdr:cNvPr>
          <xdr:cNvSpPr/>
        </xdr:nvSpPr>
        <xdr:spPr>
          <a:xfrm>
            <a:off x="7124700" y="77190600"/>
            <a:ext cx="495300" cy="2143125"/>
          </a:xfrm>
          <a:custGeom>
            <a:avLst/>
            <a:gdLst>
              <a:gd name="connsiteX0" fmla="*/ 0 w 495300"/>
              <a:gd name="connsiteY0" fmla="*/ 0 h 2143125"/>
              <a:gd name="connsiteX1" fmla="*/ 495300 w 495300"/>
              <a:gd name="connsiteY1" fmla="*/ 0 h 2143125"/>
              <a:gd name="connsiteX2" fmla="*/ 4763 w 495300"/>
              <a:gd name="connsiteY2" fmla="*/ 2143125 h 2143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2143125">
                <a:moveTo>
                  <a:pt x="0" y="0"/>
                </a:moveTo>
                <a:lnTo>
                  <a:pt x="495300" y="0"/>
                </a:lnTo>
                <a:lnTo>
                  <a:pt x="4763" y="214312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21" name="Straight Connector 1120">
            <a:extLst>
              <a:ext uri="{FF2B5EF4-FFF2-40B4-BE49-F238E27FC236}">
                <a16:creationId xmlns:a16="http://schemas.microsoft.com/office/drawing/2014/main" id="{A3327431-F84C-58F9-7AA9-E63F1CCF9192}"/>
              </a:ext>
            </a:extLst>
          </xdr:cNvPr>
          <xdr:cNvCxnSpPr/>
        </xdr:nvCxnSpPr>
        <xdr:spPr>
          <a:xfrm flipH="1" flipV="1">
            <a:off x="5060856" y="77078124"/>
            <a:ext cx="122724" cy="53157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2" name="Straight Connector 1121">
            <a:extLst>
              <a:ext uri="{FF2B5EF4-FFF2-40B4-BE49-F238E27FC236}">
                <a16:creationId xmlns:a16="http://schemas.microsoft.com/office/drawing/2014/main" id="{AFEF49C9-A5C2-4D67-A105-77DF2E4820E6}"/>
              </a:ext>
            </a:extLst>
          </xdr:cNvPr>
          <xdr:cNvCxnSpPr/>
        </xdr:nvCxnSpPr>
        <xdr:spPr>
          <a:xfrm flipH="1" flipV="1">
            <a:off x="7003958" y="76659023"/>
            <a:ext cx="123838" cy="53640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Connector 1125">
            <a:extLst>
              <a:ext uri="{FF2B5EF4-FFF2-40B4-BE49-F238E27FC236}">
                <a16:creationId xmlns:a16="http://schemas.microsoft.com/office/drawing/2014/main" id="{F1688E4F-EA09-42DC-81E3-1E7E9211C2A0}"/>
              </a:ext>
            </a:extLst>
          </xdr:cNvPr>
          <xdr:cNvCxnSpPr/>
        </xdr:nvCxnSpPr>
        <xdr:spPr>
          <a:xfrm flipH="1" flipV="1">
            <a:off x="6180427" y="77389116"/>
            <a:ext cx="94906" cy="41108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7" name="Freeform: Shape 1126">
            <a:extLst>
              <a:ext uri="{FF2B5EF4-FFF2-40B4-BE49-F238E27FC236}">
                <a16:creationId xmlns:a16="http://schemas.microsoft.com/office/drawing/2014/main" id="{14B5F2A2-660B-C9C8-E7C0-C4E1FB574DA9}"/>
              </a:ext>
            </a:extLst>
          </xdr:cNvPr>
          <xdr:cNvSpPr/>
        </xdr:nvSpPr>
        <xdr:spPr>
          <a:xfrm>
            <a:off x="5062538" y="76652438"/>
            <a:ext cx="1947862" cy="1146749"/>
          </a:xfrm>
          <a:custGeom>
            <a:avLst/>
            <a:gdLst>
              <a:gd name="connsiteX0" fmla="*/ 0 w 1947862"/>
              <a:gd name="connsiteY0" fmla="*/ 428625 h 1146749"/>
              <a:gd name="connsiteX1" fmla="*/ 1209675 w 1947862"/>
              <a:gd name="connsiteY1" fmla="*/ 1138237 h 1146749"/>
              <a:gd name="connsiteX2" fmla="*/ 1947862 w 1947862"/>
              <a:gd name="connsiteY2" fmla="*/ 0 h 1146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1146749">
                <a:moveTo>
                  <a:pt x="0" y="428625"/>
                </a:moveTo>
                <a:cubicBezTo>
                  <a:pt x="442515" y="819149"/>
                  <a:pt x="885031" y="1209674"/>
                  <a:pt x="1209675" y="1138237"/>
                </a:cubicBezTo>
                <a:cubicBezTo>
                  <a:pt x="1534319" y="1066800"/>
                  <a:pt x="1741090" y="533400"/>
                  <a:pt x="1947862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34" name="Straight Connector 1133">
            <a:extLst>
              <a:ext uri="{FF2B5EF4-FFF2-40B4-BE49-F238E27FC236}">
                <a16:creationId xmlns:a16="http://schemas.microsoft.com/office/drawing/2014/main" id="{AC8E1DE8-1746-6863-1C6E-C0F2CA99A419}"/>
              </a:ext>
            </a:extLst>
          </xdr:cNvPr>
          <xdr:cNvCxnSpPr/>
        </xdr:nvCxnSpPr>
        <xdr:spPr>
          <a:xfrm flipV="1">
            <a:off x="5181600" y="76695300"/>
            <a:ext cx="0" cy="79534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3C430828-0563-E646-1DD1-57D5F21A513A}"/>
              </a:ext>
            </a:extLst>
          </xdr:cNvPr>
          <xdr:cNvCxnSpPr/>
        </xdr:nvCxnSpPr>
        <xdr:spPr>
          <a:xfrm>
            <a:off x="5110163" y="76761975"/>
            <a:ext cx="1143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Connector 1137">
            <a:extLst>
              <a:ext uri="{FF2B5EF4-FFF2-40B4-BE49-F238E27FC236}">
                <a16:creationId xmlns:a16="http://schemas.microsoft.com/office/drawing/2014/main" id="{FCF7A33F-42CB-1700-F360-27BC664A8E87}"/>
              </a:ext>
            </a:extLst>
          </xdr:cNvPr>
          <xdr:cNvCxnSpPr/>
        </xdr:nvCxnSpPr>
        <xdr:spPr>
          <a:xfrm>
            <a:off x="6186488" y="76695300"/>
            <a:ext cx="0" cy="657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2" name="Straight Connector 1141">
            <a:extLst>
              <a:ext uri="{FF2B5EF4-FFF2-40B4-BE49-F238E27FC236}">
                <a16:creationId xmlns:a16="http://schemas.microsoft.com/office/drawing/2014/main" id="{5566F437-F004-E8D6-3860-27FF6B8A2FDF}"/>
              </a:ext>
            </a:extLst>
          </xdr:cNvPr>
          <xdr:cNvCxnSpPr/>
        </xdr:nvCxnSpPr>
        <xdr:spPr>
          <a:xfrm flipH="1">
            <a:off x="5143500" y="76728638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Connector 1142">
            <a:extLst>
              <a:ext uri="{FF2B5EF4-FFF2-40B4-BE49-F238E27FC236}">
                <a16:creationId xmlns:a16="http://schemas.microsoft.com/office/drawing/2014/main" id="{57548597-09FC-47E8-A9FB-7C5E1FE8BD09}"/>
              </a:ext>
            </a:extLst>
          </xdr:cNvPr>
          <xdr:cNvCxnSpPr/>
        </xdr:nvCxnSpPr>
        <xdr:spPr>
          <a:xfrm flipH="1">
            <a:off x="6148387" y="76728639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76191</xdr:colOff>
      <xdr:row>557</xdr:row>
      <xdr:rowOff>66675</xdr:rowOff>
    </xdr:from>
    <xdr:to>
      <xdr:col>24</xdr:col>
      <xdr:colOff>80962</xdr:colOff>
      <xdr:row>579</xdr:row>
      <xdr:rowOff>66675</xdr:rowOff>
    </xdr:to>
    <xdr:grpSp>
      <xdr:nvGrpSpPr>
        <xdr:cNvPr id="233" name="Group 232">
          <a:extLst>
            <a:ext uri="{FF2B5EF4-FFF2-40B4-BE49-F238E27FC236}">
              <a16:creationId xmlns:a16="http://schemas.microsoft.com/office/drawing/2014/main" id="{A4370D5C-9996-8276-4F98-705B3E2921DA}"/>
            </a:ext>
          </a:extLst>
        </xdr:cNvPr>
        <xdr:cNvGrpSpPr/>
      </xdr:nvGrpSpPr>
      <xdr:grpSpPr>
        <a:xfrm>
          <a:off x="400041" y="80972025"/>
          <a:ext cx="3567121" cy="3143250"/>
          <a:chOff x="561966" y="80972025"/>
          <a:chExt cx="3567121" cy="3143250"/>
        </a:xfrm>
      </xdr:grpSpPr>
      <xdr:sp macro="" textlink="">
        <xdr:nvSpPr>
          <xdr:cNvPr id="1146" name="Freeform: Shape 1145">
            <a:extLst>
              <a:ext uri="{FF2B5EF4-FFF2-40B4-BE49-F238E27FC236}">
                <a16:creationId xmlns:a16="http://schemas.microsoft.com/office/drawing/2014/main" id="{895B137B-9179-46E7-8EBA-440DA4F2DA41}"/>
              </a:ext>
            </a:extLst>
          </xdr:cNvPr>
          <xdr:cNvSpPr/>
        </xdr:nvSpPr>
        <xdr:spPr>
          <a:xfrm>
            <a:off x="1295400" y="81043463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48E8C738-7A7D-4742-986F-E6D6F7C2C0B2}"/>
              </a:ext>
            </a:extLst>
          </xdr:cNvPr>
          <xdr:cNvSpPr/>
        </xdr:nvSpPr>
        <xdr:spPr>
          <a:xfrm>
            <a:off x="1138238" y="831961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48" name="Oval 1147">
            <a:extLst>
              <a:ext uri="{FF2B5EF4-FFF2-40B4-BE49-F238E27FC236}">
                <a16:creationId xmlns:a16="http://schemas.microsoft.com/office/drawing/2014/main" id="{ED93470C-9AE4-4F5C-A340-53E3435AC607}"/>
              </a:ext>
            </a:extLst>
          </xdr:cNvPr>
          <xdr:cNvSpPr/>
        </xdr:nvSpPr>
        <xdr:spPr>
          <a:xfrm>
            <a:off x="1243014" y="830818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49" name="Oval 1148">
            <a:extLst>
              <a:ext uri="{FF2B5EF4-FFF2-40B4-BE49-F238E27FC236}">
                <a16:creationId xmlns:a16="http://schemas.microsoft.com/office/drawing/2014/main" id="{90F67C45-06C3-4D7D-BC2E-F3D699E8D0C9}"/>
              </a:ext>
            </a:extLst>
          </xdr:cNvPr>
          <xdr:cNvSpPr/>
        </xdr:nvSpPr>
        <xdr:spPr>
          <a:xfrm>
            <a:off x="3186114" y="830865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0" name="Straight Connector 1149">
            <a:extLst>
              <a:ext uri="{FF2B5EF4-FFF2-40B4-BE49-F238E27FC236}">
                <a16:creationId xmlns:a16="http://schemas.microsoft.com/office/drawing/2014/main" id="{8386F84D-F599-4DD1-B82D-9E949D5E896A}"/>
              </a:ext>
            </a:extLst>
          </xdr:cNvPr>
          <xdr:cNvCxnSpPr/>
        </xdr:nvCxnSpPr>
        <xdr:spPr>
          <a:xfrm>
            <a:off x="1133475" y="831913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561E422-1691-4471-B9FB-5C515F58E125}"/>
              </a:ext>
            </a:extLst>
          </xdr:cNvPr>
          <xdr:cNvSpPr/>
        </xdr:nvSpPr>
        <xdr:spPr>
          <a:xfrm>
            <a:off x="3081338" y="832008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2" name="Straight Connector 1151">
            <a:extLst>
              <a:ext uri="{FF2B5EF4-FFF2-40B4-BE49-F238E27FC236}">
                <a16:creationId xmlns:a16="http://schemas.microsoft.com/office/drawing/2014/main" id="{0D090324-03EC-438D-A276-11B3E1F3D502}"/>
              </a:ext>
            </a:extLst>
          </xdr:cNvPr>
          <xdr:cNvCxnSpPr/>
        </xdr:nvCxnSpPr>
        <xdr:spPr>
          <a:xfrm>
            <a:off x="3076575" y="831961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9B7A82A6-B7E6-4F65-8A02-6968B6B5619A}"/>
              </a:ext>
            </a:extLst>
          </xdr:cNvPr>
          <xdr:cNvCxnSpPr/>
        </xdr:nvCxnSpPr>
        <xdr:spPr>
          <a:xfrm>
            <a:off x="561975" y="81476850"/>
            <a:ext cx="3238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D74E076B-0D80-4081-A17B-649565AB3520}"/>
              </a:ext>
            </a:extLst>
          </xdr:cNvPr>
          <xdr:cNvCxnSpPr/>
        </xdr:nvCxnSpPr>
        <xdr:spPr>
          <a:xfrm>
            <a:off x="647701" y="80972025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C9856592-7A3B-49BA-9441-9BB767ED2F72}"/>
              </a:ext>
            </a:extLst>
          </xdr:cNvPr>
          <xdr:cNvCxnSpPr/>
        </xdr:nvCxnSpPr>
        <xdr:spPr>
          <a:xfrm flipH="1">
            <a:off x="609600" y="814387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Connector 1169">
            <a:extLst>
              <a:ext uri="{FF2B5EF4-FFF2-40B4-BE49-F238E27FC236}">
                <a16:creationId xmlns:a16="http://schemas.microsoft.com/office/drawing/2014/main" id="{C701C23C-030A-4548-A739-323F610394C7}"/>
              </a:ext>
            </a:extLst>
          </xdr:cNvPr>
          <xdr:cNvCxnSpPr/>
        </xdr:nvCxnSpPr>
        <xdr:spPr>
          <a:xfrm>
            <a:off x="561976" y="83191351"/>
            <a:ext cx="4810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C6A1F763-8F36-4369-844E-05428F727D2B}"/>
              </a:ext>
            </a:extLst>
          </xdr:cNvPr>
          <xdr:cNvCxnSpPr/>
        </xdr:nvCxnSpPr>
        <xdr:spPr>
          <a:xfrm flipH="1">
            <a:off x="609597" y="831532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Connector 1171">
            <a:extLst>
              <a:ext uri="{FF2B5EF4-FFF2-40B4-BE49-F238E27FC236}">
                <a16:creationId xmlns:a16="http://schemas.microsoft.com/office/drawing/2014/main" id="{4AF864F8-42B3-4B1D-9CC8-119524C0F96C}"/>
              </a:ext>
            </a:extLst>
          </xdr:cNvPr>
          <xdr:cNvCxnSpPr/>
        </xdr:nvCxnSpPr>
        <xdr:spPr>
          <a:xfrm>
            <a:off x="1295400" y="838152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Connector 1172">
            <a:extLst>
              <a:ext uri="{FF2B5EF4-FFF2-40B4-BE49-F238E27FC236}">
                <a16:creationId xmlns:a16="http://schemas.microsoft.com/office/drawing/2014/main" id="{A3FF1DE7-22E1-473A-9C82-AEE9ACFFCE74}"/>
              </a:ext>
            </a:extLst>
          </xdr:cNvPr>
          <xdr:cNvCxnSpPr/>
        </xdr:nvCxnSpPr>
        <xdr:spPr>
          <a:xfrm>
            <a:off x="1214439" y="840486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Connector 1173">
            <a:extLst>
              <a:ext uri="{FF2B5EF4-FFF2-40B4-BE49-F238E27FC236}">
                <a16:creationId xmlns:a16="http://schemas.microsoft.com/office/drawing/2014/main" id="{470CDD6F-BEC5-49AF-8750-4B57339ED674}"/>
              </a:ext>
            </a:extLst>
          </xdr:cNvPr>
          <xdr:cNvCxnSpPr/>
        </xdr:nvCxnSpPr>
        <xdr:spPr>
          <a:xfrm flipH="1">
            <a:off x="1257302" y="840105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60E73613-5743-4024-BB99-0969FCAFC28D}"/>
              </a:ext>
            </a:extLst>
          </xdr:cNvPr>
          <xdr:cNvCxnSpPr/>
        </xdr:nvCxnSpPr>
        <xdr:spPr>
          <a:xfrm>
            <a:off x="3238503" y="838295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Connector 1175">
            <a:extLst>
              <a:ext uri="{FF2B5EF4-FFF2-40B4-BE49-F238E27FC236}">
                <a16:creationId xmlns:a16="http://schemas.microsoft.com/office/drawing/2014/main" id="{36EA5AF8-0BAE-49E2-9C70-8072CC2C1CF8}"/>
              </a:ext>
            </a:extLst>
          </xdr:cNvPr>
          <xdr:cNvCxnSpPr/>
        </xdr:nvCxnSpPr>
        <xdr:spPr>
          <a:xfrm flipH="1">
            <a:off x="3200405" y="840105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Straight Arrow Connector 1176">
            <a:extLst>
              <a:ext uri="{FF2B5EF4-FFF2-40B4-BE49-F238E27FC236}">
                <a16:creationId xmlns:a16="http://schemas.microsoft.com/office/drawing/2014/main" id="{30623D0B-7A31-4D5C-BF4C-3C5E1EA723C6}"/>
              </a:ext>
            </a:extLst>
          </xdr:cNvPr>
          <xdr:cNvCxnSpPr/>
        </xdr:nvCxnSpPr>
        <xdr:spPr>
          <a:xfrm flipV="1">
            <a:off x="1295400" y="8331516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8" name="Straight Arrow Connector 1177">
            <a:extLst>
              <a:ext uri="{FF2B5EF4-FFF2-40B4-BE49-F238E27FC236}">
                <a16:creationId xmlns:a16="http://schemas.microsoft.com/office/drawing/2014/main" id="{8977FB8E-2FC6-434B-A8F1-CE4E5322E4F6}"/>
              </a:ext>
            </a:extLst>
          </xdr:cNvPr>
          <xdr:cNvCxnSpPr/>
        </xdr:nvCxnSpPr>
        <xdr:spPr>
          <a:xfrm flipV="1">
            <a:off x="3238500" y="833151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9" name="Straight Arrow Connector 1178">
            <a:extLst>
              <a:ext uri="{FF2B5EF4-FFF2-40B4-BE49-F238E27FC236}">
                <a16:creationId xmlns:a16="http://schemas.microsoft.com/office/drawing/2014/main" id="{5B5341A8-9842-40B0-A53D-755F2DBA0F5F}"/>
              </a:ext>
            </a:extLst>
          </xdr:cNvPr>
          <xdr:cNvCxnSpPr/>
        </xdr:nvCxnSpPr>
        <xdr:spPr>
          <a:xfrm>
            <a:off x="1481135" y="83186581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Straight Arrow Connector 1179">
            <a:extLst>
              <a:ext uri="{FF2B5EF4-FFF2-40B4-BE49-F238E27FC236}">
                <a16:creationId xmlns:a16="http://schemas.microsoft.com/office/drawing/2014/main" id="{36B528BB-0736-4F18-989F-CC1095AB460D}"/>
              </a:ext>
            </a:extLst>
          </xdr:cNvPr>
          <xdr:cNvCxnSpPr/>
        </xdr:nvCxnSpPr>
        <xdr:spPr>
          <a:xfrm flipH="1">
            <a:off x="3419474" y="831913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2" name="Straight Connector 1181">
            <a:extLst>
              <a:ext uri="{FF2B5EF4-FFF2-40B4-BE49-F238E27FC236}">
                <a16:creationId xmlns:a16="http://schemas.microsoft.com/office/drawing/2014/main" id="{10984641-67D2-4FBE-882C-A6C21EBFD5C8}"/>
              </a:ext>
            </a:extLst>
          </xdr:cNvPr>
          <xdr:cNvCxnSpPr/>
        </xdr:nvCxnSpPr>
        <xdr:spPr>
          <a:xfrm>
            <a:off x="561966" y="81048226"/>
            <a:ext cx="2347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3" name="Straight Connector 1182">
            <a:extLst>
              <a:ext uri="{FF2B5EF4-FFF2-40B4-BE49-F238E27FC236}">
                <a16:creationId xmlns:a16="http://schemas.microsoft.com/office/drawing/2014/main" id="{B87B0B21-3A32-45D8-9AEA-2433834A3F55}"/>
              </a:ext>
            </a:extLst>
          </xdr:cNvPr>
          <xdr:cNvCxnSpPr/>
        </xdr:nvCxnSpPr>
        <xdr:spPr>
          <a:xfrm flipH="1">
            <a:off x="609591" y="810101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4" name="Straight Connector 1183">
            <a:extLst>
              <a:ext uri="{FF2B5EF4-FFF2-40B4-BE49-F238E27FC236}">
                <a16:creationId xmlns:a16="http://schemas.microsoft.com/office/drawing/2014/main" id="{2697655C-A9B8-4A76-84B4-3B601A60D296}"/>
              </a:ext>
            </a:extLst>
          </xdr:cNvPr>
          <xdr:cNvCxnSpPr/>
        </xdr:nvCxnSpPr>
        <xdr:spPr>
          <a:xfrm>
            <a:off x="4048134" y="80972025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Connector 1184">
            <a:extLst>
              <a:ext uri="{FF2B5EF4-FFF2-40B4-BE49-F238E27FC236}">
                <a16:creationId xmlns:a16="http://schemas.microsoft.com/office/drawing/2014/main" id="{8F70315E-7A5F-4EDD-9997-033E44801B81}"/>
              </a:ext>
            </a:extLst>
          </xdr:cNvPr>
          <xdr:cNvCxnSpPr/>
        </xdr:nvCxnSpPr>
        <xdr:spPr>
          <a:xfrm>
            <a:off x="3890968" y="8319135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Connector 1185">
            <a:extLst>
              <a:ext uri="{FF2B5EF4-FFF2-40B4-BE49-F238E27FC236}">
                <a16:creationId xmlns:a16="http://schemas.microsoft.com/office/drawing/2014/main" id="{A3055EEE-27AA-4231-8EA4-9644616D4ED0}"/>
              </a:ext>
            </a:extLst>
          </xdr:cNvPr>
          <xdr:cNvCxnSpPr/>
        </xdr:nvCxnSpPr>
        <xdr:spPr>
          <a:xfrm flipH="1">
            <a:off x="4010034" y="831532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7" name="Straight Connector 1186">
            <a:extLst>
              <a:ext uri="{FF2B5EF4-FFF2-40B4-BE49-F238E27FC236}">
                <a16:creationId xmlns:a16="http://schemas.microsoft.com/office/drawing/2014/main" id="{73107424-2A69-46B4-BEB7-FCA7277AB821}"/>
              </a:ext>
            </a:extLst>
          </xdr:cNvPr>
          <xdr:cNvCxnSpPr/>
        </xdr:nvCxnSpPr>
        <xdr:spPr>
          <a:xfrm>
            <a:off x="3352800" y="81048226"/>
            <a:ext cx="776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8" name="Straight Connector 1187">
            <a:extLst>
              <a:ext uri="{FF2B5EF4-FFF2-40B4-BE49-F238E27FC236}">
                <a16:creationId xmlns:a16="http://schemas.microsoft.com/office/drawing/2014/main" id="{48C717C8-74BD-4E65-8455-DF705CF12FB7}"/>
              </a:ext>
            </a:extLst>
          </xdr:cNvPr>
          <xdr:cNvCxnSpPr/>
        </xdr:nvCxnSpPr>
        <xdr:spPr>
          <a:xfrm flipH="1">
            <a:off x="4010024" y="810101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2" name="Straight Connector 1201">
            <a:extLst>
              <a:ext uri="{FF2B5EF4-FFF2-40B4-BE49-F238E27FC236}">
                <a16:creationId xmlns:a16="http://schemas.microsoft.com/office/drawing/2014/main" id="{21576C56-4D6F-2774-0FCE-5A4262FB4BF0}"/>
              </a:ext>
            </a:extLst>
          </xdr:cNvPr>
          <xdr:cNvCxnSpPr/>
        </xdr:nvCxnSpPr>
        <xdr:spPr>
          <a:xfrm>
            <a:off x="971550" y="81052988"/>
            <a:ext cx="0" cy="4238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6" name="Straight Arrow Connector 1205">
            <a:extLst>
              <a:ext uri="{FF2B5EF4-FFF2-40B4-BE49-F238E27FC236}">
                <a16:creationId xmlns:a16="http://schemas.microsoft.com/office/drawing/2014/main" id="{53D0D6DF-D6CB-A9B9-05FA-7DA570BD03DE}"/>
              </a:ext>
            </a:extLst>
          </xdr:cNvPr>
          <xdr:cNvCxnSpPr/>
        </xdr:nvCxnSpPr>
        <xdr:spPr>
          <a:xfrm>
            <a:off x="971550" y="8104822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7" name="Straight Arrow Connector 1206">
            <a:extLst>
              <a:ext uri="{FF2B5EF4-FFF2-40B4-BE49-F238E27FC236}">
                <a16:creationId xmlns:a16="http://schemas.microsoft.com/office/drawing/2014/main" id="{D75DDED5-655D-4329-A56E-F23408DB3744}"/>
              </a:ext>
            </a:extLst>
          </xdr:cNvPr>
          <xdr:cNvCxnSpPr/>
        </xdr:nvCxnSpPr>
        <xdr:spPr>
          <a:xfrm>
            <a:off x="971550" y="8119110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8" name="Straight Arrow Connector 1207">
            <a:extLst>
              <a:ext uri="{FF2B5EF4-FFF2-40B4-BE49-F238E27FC236}">
                <a16:creationId xmlns:a16="http://schemas.microsoft.com/office/drawing/2014/main" id="{BA05B9E0-C4DC-40D9-81AE-C58E70A7F731}"/>
              </a:ext>
            </a:extLst>
          </xdr:cNvPr>
          <xdr:cNvCxnSpPr/>
        </xdr:nvCxnSpPr>
        <xdr:spPr>
          <a:xfrm>
            <a:off x="971549" y="8133397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Arrow Connector 1208">
            <a:extLst>
              <a:ext uri="{FF2B5EF4-FFF2-40B4-BE49-F238E27FC236}">
                <a16:creationId xmlns:a16="http://schemas.microsoft.com/office/drawing/2014/main" id="{8EE1E878-CA3F-427A-A90A-C4F65FD52C13}"/>
              </a:ext>
            </a:extLst>
          </xdr:cNvPr>
          <xdr:cNvCxnSpPr/>
        </xdr:nvCxnSpPr>
        <xdr:spPr>
          <a:xfrm>
            <a:off x="971549" y="8147685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Connector 1212">
            <a:extLst>
              <a:ext uri="{FF2B5EF4-FFF2-40B4-BE49-F238E27FC236}">
                <a16:creationId xmlns:a16="http://schemas.microsoft.com/office/drawing/2014/main" id="{6BCF0288-C30D-0C2F-C343-87F158E77BD9}"/>
              </a:ext>
            </a:extLst>
          </xdr:cNvPr>
          <xdr:cNvCxnSpPr/>
        </xdr:nvCxnSpPr>
        <xdr:spPr>
          <a:xfrm>
            <a:off x="1171576" y="81048226"/>
            <a:ext cx="0" cy="4333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0</xdr:colOff>
      <xdr:row>554</xdr:row>
      <xdr:rowOff>38100</xdr:rowOff>
    </xdr:from>
    <xdr:to>
      <xdr:col>46</xdr:col>
      <xdr:colOff>9525</xdr:colOff>
      <xdr:row>573</xdr:row>
      <xdr:rowOff>0</xdr:rowOff>
    </xdr:to>
    <xdr:grpSp>
      <xdr:nvGrpSpPr>
        <xdr:cNvPr id="234" name="Group 233">
          <a:extLst>
            <a:ext uri="{FF2B5EF4-FFF2-40B4-BE49-F238E27FC236}">
              <a16:creationId xmlns:a16="http://schemas.microsoft.com/office/drawing/2014/main" id="{5F88D0FF-CA6E-875D-B952-AC8DB3D440AF}"/>
            </a:ext>
          </a:extLst>
        </xdr:cNvPr>
        <xdr:cNvGrpSpPr/>
      </xdr:nvGrpSpPr>
      <xdr:grpSpPr>
        <a:xfrm>
          <a:off x="5019675" y="80514825"/>
          <a:ext cx="2438400" cy="2676525"/>
          <a:chOff x="5181600" y="80514825"/>
          <a:chExt cx="2438400" cy="2676525"/>
        </a:xfrm>
      </xdr:grpSpPr>
      <xdr:sp macro="" textlink="">
        <xdr:nvSpPr>
          <xdr:cNvPr id="1189" name="Freeform: Shape 1188">
            <a:extLst>
              <a:ext uri="{FF2B5EF4-FFF2-40B4-BE49-F238E27FC236}">
                <a16:creationId xmlns:a16="http://schemas.microsoft.com/office/drawing/2014/main" id="{5B3A58D5-29B7-46B8-BE18-5E42A13D62BE}"/>
              </a:ext>
            </a:extLst>
          </xdr:cNvPr>
          <xdr:cNvSpPr/>
        </xdr:nvSpPr>
        <xdr:spPr>
          <a:xfrm>
            <a:off x="5181605" y="81043452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1" name="Freeform: Shape 1190">
            <a:extLst>
              <a:ext uri="{FF2B5EF4-FFF2-40B4-BE49-F238E27FC236}">
                <a16:creationId xmlns:a16="http://schemas.microsoft.com/office/drawing/2014/main" id="{D0054363-82F7-4C5F-8899-D10C38E3E0D5}"/>
              </a:ext>
            </a:extLst>
          </xdr:cNvPr>
          <xdr:cNvSpPr/>
        </xdr:nvSpPr>
        <xdr:spPr>
          <a:xfrm>
            <a:off x="7124700" y="81048225"/>
            <a:ext cx="495300" cy="2143125"/>
          </a:xfrm>
          <a:custGeom>
            <a:avLst/>
            <a:gdLst>
              <a:gd name="connsiteX0" fmla="*/ 0 w 495300"/>
              <a:gd name="connsiteY0" fmla="*/ 0 h 2143125"/>
              <a:gd name="connsiteX1" fmla="*/ 495300 w 495300"/>
              <a:gd name="connsiteY1" fmla="*/ 0 h 2143125"/>
              <a:gd name="connsiteX2" fmla="*/ 4763 w 495300"/>
              <a:gd name="connsiteY2" fmla="*/ 2143125 h 2143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2143125">
                <a:moveTo>
                  <a:pt x="0" y="0"/>
                </a:moveTo>
                <a:lnTo>
                  <a:pt x="495300" y="0"/>
                </a:lnTo>
                <a:lnTo>
                  <a:pt x="4763" y="214312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92" name="Straight Connector 1191">
            <a:extLst>
              <a:ext uri="{FF2B5EF4-FFF2-40B4-BE49-F238E27FC236}">
                <a16:creationId xmlns:a16="http://schemas.microsoft.com/office/drawing/2014/main" id="{3DDF0D82-D424-4F62-9D1F-50060DAD5752}"/>
              </a:ext>
            </a:extLst>
          </xdr:cNvPr>
          <xdr:cNvCxnSpPr/>
        </xdr:nvCxnSpPr>
        <xdr:spPr>
          <a:xfrm flipH="1" flipV="1">
            <a:off x="5189446" y="81483444"/>
            <a:ext cx="122724" cy="53157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3" name="Straight Connector 1192">
            <a:extLst>
              <a:ext uri="{FF2B5EF4-FFF2-40B4-BE49-F238E27FC236}">
                <a16:creationId xmlns:a16="http://schemas.microsoft.com/office/drawing/2014/main" id="{660882FD-7BA4-4299-B18F-5DECC5B6DC2F}"/>
              </a:ext>
            </a:extLst>
          </xdr:cNvPr>
          <xdr:cNvCxnSpPr/>
        </xdr:nvCxnSpPr>
        <xdr:spPr>
          <a:xfrm flipH="1" flipV="1">
            <a:off x="7003958" y="80516648"/>
            <a:ext cx="123838" cy="53640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7" name="Freeform: Shape 1216">
            <a:extLst>
              <a:ext uri="{FF2B5EF4-FFF2-40B4-BE49-F238E27FC236}">
                <a16:creationId xmlns:a16="http://schemas.microsoft.com/office/drawing/2014/main" id="{3A149260-1A54-4FB8-233A-7FF12C2D89A2}"/>
              </a:ext>
            </a:extLst>
          </xdr:cNvPr>
          <xdr:cNvSpPr/>
        </xdr:nvSpPr>
        <xdr:spPr>
          <a:xfrm>
            <a:off x="5181600" y="81481613"/>
            <a:ext cx="495300" cy="1709737"/>
          </a:xfrm>
          <a:custGeom>
            <a:avLst/>
            <a:gdLst>
              <a:gd name="connsiteX0" fmla="*/ 0 w 495300"/>
              <a:gd name="connsiteY0" fmla="*/ 0 h 1709737"/>
              <a:gd name="connsiteX1" fmla="*/ 495300 w 495300"/>
              <a:gd name="connsiteY1" fmla="*/ 0 h 1709737"/>
              <a:gd name="connsiteX2" fmla="*/ 4763 w 495300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09737">
                <a:moveTo>
                  <a:pt x="0" y="0"/>
                </a:moveTo>
                <a:lnTo>
                  <a:pt x="495300" y="0"/>
                </a:lnTo>
                <a:lnTo>
                  <a:pt x="4763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18" name="Freeform: Shape 1217">
            <a:extLst>
              <a:ext uri="{FF2B5EF4-FFF2-40B4-BE49-F238E27FC236}">
                <a16:creationId xmlns:a16="http://schemas.microsoft.com/office/drawing/2014/main" id="{D2A8FB4D-7911-AF2A-2424-E9F299F6459E}"/>
              </a:ext>
            </a:extLst>
          </xdr:cNvPr>
          <xdr:cNvSpPr/>
        </xdr:nvSpPr>
        <xdr:spPr>
          <a:xfrm>
            <a:off x="5314950" y="80514825"/>
            <a:ext cx="1695450" cy="1500188"/>
          </a:xfrm>
          <a:custGeom>
            <a:avLst/>
            <a:gdLst>
              <a:gd name="connsiteX0" fmla="*/ 0 w 1695450"/>
              <a:gd name="connsiteY0" fmla="*/ 1500188 h 1500188"/>
              <a:gd name="connsiteX1" fmla="*/ 900113 w 1695450"/>
              <a:gd name="connsiteY1" fmla="*/ 957263 h 1500188"/>
              <a:gd name="connsiteX2" fmla="*/ 1695450 w 1695450"/>
              <a:gd name="connsiteY2" fmla="*/ 0 h 15001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5450" h="1500188">
                <a:moveTo>
                  <a:pt x="0" y="1500188"/>
                </a:moveTo>
                <a:cubicBezTo>
                  <a:pt x="308769" y="1353741"/>
                  <a:pt x="617538" y="1207294"/>
                  <a:pt x="900113" y="957263"/>
                </a:cubicBezTo>
                <a:cubicBezTo>
                  <a:pt x="1182688" y="707232"/>
                  <a:pt x="1439069" y="353616"/>
                  <a:pt x="1695450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76191</xdr:colOff>
      <xdr:row>584</xdr:row>
      <xdr:rowOff>66675</xdr:rowOff>
    </xdr:from>
    <xdr:to>
      <xdr:col>24</xdr:col>
      <xdr:colOff>80962</xdr:colOff>
      <xdr:row>606</xdr:row>
      <xdr:rowOff>66675</xdr:rowOff>
    </xdr:to>
    <xdr:grpSp>
      <xdr:nvGrpSpPr>
        <xdr:cNvPr id="237" name="Group 236">
          <a:extLst>
            <a:ext uri="{FF2B5EF4-FFF2-40B4-BE49-F238E27FC236}">
              <a16:creationId xmlns:a16="http://schemas.microsoft.com/office/drawing/2014/main" id="{BA6EE09E-945B-F862-D58A-B84DFED646A0}"/>
            </a:ext>
          </a:extLst>
        </xdr:cNvPr>
        <xdr:cNvGrpSpPr/>
      </xdr:nvGrpSpPr>
      <xdr:grpSpPr>
        <a:xfrm>
          <a:off x="400041" y="84829650"/>
          <a:ext cx="3567121" cy="3143250"/>
          <a:chOff x="561966" y="84829650"/>
          <a:chExt cx="3567121" cy="3143250"/>
        </a:xfrm>
      </xdr:grpSpPr>
      <xdr:sp macro="" textlink="">
        <xdr:nvSpPr>
          <xdr:cNvPr id="1219" name="Freeform: Shape 1218">
            <a:extLst>
              <a:ext uri="{FF2B5EF4-FFF2-40B4-BE49-F238E27FC236}">
                <a16:creationId xmlns:a16="http://schemas.microsoft.com/office/drawing/2014/main" id="{64FEE144-A595-4175-96A3-F6AC47B2BA43}"/>
              </a:ext>
            </a:extLst>
          </xdr:cNvPr>
          <xdr:cNvSpPr/>
        </xdr:nvSpPr>
        <xdr:spPr>
          <a:xfrm>
            <a:off x="1295400" y="84901088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5E139237-4913-44AE-9C5C-E6D3934F1DD3}"/>
              </a:ext>
            </a:extLst>
          </xdr:cNvPr>
          <xdr:cNvSpPr/>
        </xdr:nvSpPr>
        <xdr:spPr>
          <a:xfrm>
            <a:off x="1138238" y="870537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21" name="Oval 1220">
            <a:extLst>
              <a:ext uri="{FF2B5EF4-FFF2-40B4-BE49-F238E27FC236}">
                <a16:creationId xmlns:a16="http://schemas.microsoft.com/office/drawing/2014/main" id="{81485119-FA6B-4E8D-A6C9-F5E454E8EB6C}"/>
              </a:ext>
            </a:extLst>
          </xdr:cNvPr>
          <xdr:cNvSpPr/>
        </xdr:nvSpPr>
        <xdr:spPr>
          <a:xfrm>
            <a:off x="1243014" y="869394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22" name="Oval 1221">
            <a:extLst>
              <a:ext uri="{FF2B5EF4-FFF2-40B4-BE49-F238E27FC236}">
                <a16:creationId xmlns:a16="http://schemas.microsoft.com/office/drawing/2014/main" id="{7ACAA713-7858-4B6C-BDF9-4ADDD8A53B51}"/>
              </a:ext>
            </a:extLst>
          </xdr:cNvPr>
          <xdr:cNvSpPr/>
        </xdr:nvSpPr>
        <xdr:spPr>
          <a:xfrm>
            <a:off x="3186114" y="8694419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23" name="Straight Connector 1222">
            <a:extLst>
              <a:ext uri="{FF2B5EF4-FFF2-40B4-BE49-F238E27FC236}">
                <a16:creationId xmlns:a16="http://schemas.microsoft.com/office/drawing/2014/main" id="{163D55C5-623F-42CA-91AC-EB73A73583C3}"/>
              </a:ext>
            </a:extLst>
          </xdr:cNvPr>
          <xdr:cNvCxnSpPr/>
        </xdr:nvCxnSpPr>
        <xdr:spPr>
          <a:xfrm>
            <a:off x="1133475" y="870489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2F1B3CAC-AB2D-4E31-A325-16C29055D238}"/>
              </a:ext>
            </a:extLst>
          </xdr:cNvPr>
          <xdr:cNvSpPr/>
        </xdr:nvSpPr>
        <xdr:spPr>
          <a:xfrm>
            <a:off x="3081338" y="870584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25" name="Straight Connector 1224">
            <a:extLst>
              <a:ext uri="{FF2B5EF4-FFF2-40B4-BE49-F238E27FC236}">
                <a16:creationId xmlns:a16="http://schemas.microsoft.com/office/drawing/2014/main" id="{86926EA0-D680-45DD-8969-7BA656FC22F6}"/>
              </a:ext>
            </a:extLst>
          </xdr:cNvPr>
          <xdr:cNvCxnSpPr/>
        </xdr:nvCxnSpPr>
        <xdr:spPr>
          <a:xfrm>
            <a:off x="3076575" y="870537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Connector 1225">
            <a:extLst>
              <a:ext uri="{FF2B5EF4-FFF2-40B4-BE49-F238E27FC236}">
                <a16:creationId xmlns:a16="http://schemas.microsoft.com/office/drawing/2014/main" id="{0F9BF75D-EE4E-44AA-876D-969D39DE65AA}"/>
              </a:ext>
            </a:extLst>
          </xdr:cNvPr>
          <xdr:cNvCxnSpPr/>
        </xdr:nvCxnSpPr>
        <xdr:spPr>
          <a:xfrm>
            <a:off x="561975" y="85334475"/>
            <a:ext cx="3476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Connector 1226">
            <a:extLst>
              <a:ext uri="{FF2B5EF4-FFF2-40B4-BE49-F238E27FC236}">
                <a16:creationId xmlns:a16="http://schemas.microsoft.com/office/drawing/2014/main" id="{BEDBB635-C1E8-427B-AEBB-8FDC09D741BE}"/>
              </a:ext>
            </a:extLst>
          </xdr:cNvPr>
          <xdr:cNvCxnSpPr/>
        </xdr:nvCxnSpPr>
        <xdr:spPr>
          <a:xfrm>
            <a:off x="647701" y="8482965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Connector 1227">
            <a:extLst>
              <a:ext uri="{FF2B5EF4-FFF2-40B4-BE49-F238E27FC236}">
                <a16:creationId xmlns:a16="http://schemas.microsoft.com/office/drawing/2014/main" id="{156C91D9-57BC-4354-B4EC-ECF735FBD74A}"/>
              </a:ext>
            </a:extLst>
          </xdr:cNvPr>
          <xdr:cNvCxnSpPr/>
        </xdr:nvCxnSpPr>
        <xdr:spPr>
          <a:xfrm flipH="1">
            <a:off x="609600" y="852963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Connector 1228">
            <a:extLst>
              <a:ext uri="{FF2B5EF4-FFF2-40B4-BE49-F238E27FC236}">
                <a16:creationId xmlns:a16="http://schemas.microsoft.com/office/drawing/2014/main" id="{E8C3C8CA-36E5-4D51-807A-364AF69E6EAF}"/>
              </a:ext>
            </a:extLst>
          </xdr:cNvPr>
          <xdr:cNvCxnSpPr/>
        </xdr:nvCxnSpPr>
        <xdr:spPr>
          <a:xfrm>
            <a:off x="561976" y="87048976"/>
            <a:ext cx="3000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862EA08C-7895-4D4E-AFDF-47057B3890CD}"/>
              </a:ext>
            </a:extLst>
          </xdr:cNvPr>
          <xdr:cNvCxnSpPr/>
        </xdr:nvCxnSpPr>
        <xdr:spPr>
          <a:xfrm flipH="1">
            <a:off x="609597" y="870108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Connector 1230">
            <a:extLst>
              <a:ext uri="{FF2B5EF4-FFF2-40B4-BE49-F238E27FC236}">
                <a16:creationId xmlns:a16="http://schemas.microsoft.com/office/drawing/2014/main" id="{F47CE7D8-B9A6-47C9-9CA2-67C7D4489BEC}"/>
              </a:ext>
            </a:extLst>
          </xdr:cNvPr>
          <xdr:cNvCxnSpPr/>
        </xdr:nvCxnSpPr>
        <xdr:spPr>
          <a:xfrm>
            <a:off x="1295400" y="876728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2" name="Straight Connector 1231">
            <a:extLst>
              <a:ext uri="{FF2B5EF4-FFF2-40B4-BE49-F238E27FC236}">
                <a16:creationId xmlns:a16="http://schemas.microsoft.com/office/drawing/2014/main" id="{FA147A92-868B-4E48-B902-35DD15DD0847}"/>
              </a:ext>
            </a:extLst>
          </xdr:cNvPr>
          <xdr:cNvCxnSpPr/>
        </xdr:nvCxnSpPr>
        <xdr:spPr>
          <a:xfrm>
            <a:off x="1214439" y="879062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Connector 1232">
            <a:extLst>
              <a:ext uri="{FF2B5EF4-FFF2-40B4-BE49-F238E27FC236}">
                <a16:creationId xmlns:a16="http://schemas.microsoft.com/office/drawing/2014/main" id="{94C3BDB5-7F4B-46FD-B459-104731AB8A05}"/>
              </a:ext>
            </a:extLst>
          </xdr:cNvPr>
          <xdr:cNvCxnSpPr/>
        </xdr:nvCxnSpPr>
        <xdr:spPr>
          <a:xfrm flipH="1">
            <a:off x="1257302" y="878681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4" name="Straight Connector 1233">
            <a:extLst>
              <a:ext uri="{FF2B5EF4-FFF2-40B4-BE49-F238E27FC236}">
                <a16:creationId xmlns:a16="http://schemas.microsoft.com/office/drawing/2014/main" id="{19FFCF56-835C-4F93-9BC8-841F590F7A09}"/>
              </a:ext>
            </a:extLst>
          </xdr:cNvPr>
          <xdr:cNvCxnSpPr/>
        </xdr:nvCxnSpPr>
        <xdr:spPr>
          <a:xfrm>
            <a:off x="3238503" y="876871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Connector 1234">
            <a:extLst>
              <a:ext uri="{FF2B5EF4-FFF2-40B4-BE49-F238E27FC236}">
                <a16:creationId xmlns:a16="http://schemas.microsoft.com/office/drawing/2014/main" id="{155918A0-59D2-4DA1-94EE-DBE2C2BCA014}"/>
              </a:ext>
            </a:extLst>
          </xdr:cNvPr>
          <xdr:cNvCxnSpPr/>
        </xdr:nvCxnSpPr>
        <xdr:spPr>
          <a:xfrm flipH="1">
            <a:off x="3200405" y="878681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6" name="Straight Arrow Connector 1235">
            <a:extLst>
              <a:ext uri="{FF2B5EF4-FFF2-40B4-BE49-F238E27FC236}">
                <a16:creationId xmlns:a16="http://schemas.microsoft.com/office/drawing/2014/main" id="{953B14AF-3A71-41EB-8E91-B576A8EA1C9C}"/>
              </a:ext>
            </a:extLst>
          </xdr:cNvPr>
          <xdr:cNvCxnSpPr/>
        </xdr:nvCxnSpPr>
        <xdr:spPr>
          <a:xfrm flipV="1">
            <a:off x="1295400" y="871727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7" name="Straight Arrow Connector 1236">
            <a:extLst>
              <a:ext uri="{FF2B5EF4-FFF2-40B4-BE49-F238E27FC236}">
                <a16:creationId xmlns:a16="http://schemas.microsoft.com/office/drawing/2014/main" id="{319AD058-5E3C-43F2-A785-26AE02C80637}"/>
              </a:ext>
            </a:extLst>
          </xdr:cNvPr>
          <xdr:cNvCxnSpPr/>
        </xdr:nvCxnSpPr>
        <xdr:spPr>
          <a:xfrm flipV="1">
            <a:off x="3238500" y="871727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Arrow Connector 1237">
            <a:extLst>
              <a:ext uri="{FF2B5EF4-FFF2-40B4-BE49-F238E27FC236}">
                <a16:creationId xmlns:a16="http://schemas.microsoft.com/office/drawing/2014/main" id="{44FD7466-76CB-4F1B-ADFE-B5D8BCE4EAA1}"/>
              </a:ext>
            </a:extLst>
          </xdr:cNvPr>
          <xdr:cNvCxnSpPr/>
        </xdr:nvCxnSpPr>
        <xdr:spPr>
          <a:xfrm>
            <a:off x="1481135" y="87044206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9" name="Straight Arrow Connector 1238">
            <a:extLst>
              <a:ext uri="{FF2B5EF4-FFF2-40B4-BE49-F238E27FC236}">
                <a16:creationId xmlns:a16="http://schemas.microsoft.com/office/drawing/2014/main" id="{65C81171-B6CD-4036-A068-D66624C17156}"/>
              </a:ext>
            </a:extLst>
          </xdr:cNvPr>
          <xdr:cNvCxnSpPr/>
        </xdr:nvCxnSpPr>
        <xdr:spPr>
          <a:xfrm flipH="1">
            <a:off x="3419474" y="870489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0" name="Straight Connector 1239">
            <a:extLst>
              <a:ext uri="{FF2B5EF4-FFF2-40B4-BE49-F238E27FC236}">
                <a16:creationId xmlns:a16="http://schemas.microsoft.com/office/drawing/2014/main" id="{67F1B98F-5D0C-459F-82FE-000770E18682}"/>
              </a:ext>
            </a:extLst>
          </xdr:cNvPr>
          <xdr:cNvCxnSpPr/>
        </xdr:nvCxnSpPr>
        <xdr:spPr>
          <a:xfrm>
            <a:off x="561966" y="84905851"/>
            <a:ext cx="2347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1" name="Straight Connector 1240">
            <a:extLst>
              <a:ext uri="{FF2B5EF4-FFF2-40B4-BE49-F238E27FC236}">
                <a16:creationId xmlns:a16="http://schemas.microsoft.com/office/drawing/2014/main" id="{CB45BF45-4636-4F80-A643-745C0EA6A83D}"/>
              </a:ext>
            </a:extLst>
          </xdr:cNvPr>
          <xdr:cNvCxnSpPr/>
        </xdr:nvCxnSpPr>
        <xdr:spPr>
          <a:xfrm flipH="1">
            <a:off x="609591" y="848677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2" name="Straight Connector 1241">
            <a:extLst>
              <a:ext uri="{FF2B5EF4-FFF2-40B4-BE49-F238E27FC236}">
                <a16:creationId xmlns:a16="http://schemas.microsoft.com/office/drawing/2014/main" id="{CFFB7F66-95A1-40E8-A9D5-6EF0AC9C01B6}"/>
              </a:ext>
            </a:extLst>
          </xdr:cNvPr>
          <xdr:cNvCxnSpPr/>
        </xdr:nvCxnSpPr>
        <xdr:spPr>
          <a:xfrm>
            <a:off x="4048134" y="8482965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Connector 1242">
            <a:extLst>
              <a:ext uri="{FF2B5EF4-FFF2-40B4-BE49-F238E27FC236}">
                <a16:creationId xmlns:a16="http://schemas.microsoft.com/office/drawing/2014/main" id="{286F1C4C-F641-4810-804E-CB2A69A775B4}"/>
              </a:ext>
            </a:extLst>
          </xdr:cNvPr>
          <xdr:cNvCxnSpPr/>
        </xdr:nvCxnSpPr>
        <xdr:spPr>
          <a:xfrm>
            <a:off x="3790950" y="87048976"/>
            <a:ext cx="32385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Connector 1243">
            <a:extLst>
              <a:ext uri="{FF2B5EF4-FFF2-40B4-BE49-F238E27FC236}">
                <a16:creationId xmlns:a16="http://schemas.microsoft.com/office/drawing/2014/main" id="{556797EB-8886-4FF8-8B5D-174E5E7F54B0}"/>
              </a:ext>
            </a:extLst>
          </xdr:cNvPr>
          <xdr:cNvCxnSpPr/>
        </xdr:nvCxnSpPr>
        <xdr:spPr>
          <a:xfrm flipH="1">
            <a:off x="4010034" y="870108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Connector 1244">
            <a:extLst>
              <a:ext uri="{FF2B5EF4-FFF2-40B4-BE49-F238E27FC236}">
                <a16:creationId xmlns:a16="http://schemas.microsoft.com/office/drawing/2014/main" id="{98C2AF12-1031-486E-9CFC-44ED144B4E4A}"/>
              </a:ext>
            </a:extLst>
          </xdr:cNvPr>
          <xdr:cNvCxnSpPr/>
        </xdr:nvCxnSpPr>
        <xdr:spPr>
          <a:xfrm>
            <a:off x="3352800" y="84905851"/>
            <a:ext cx="776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Connector 1245">
            <a:extLst>
              <a:ext uri="{FF2B5EF4-FFF2-40B4-BE49-F238E27FC236}">
                <a16:creationId xmlns:a16="http://schemas.microsoft.com/office/drawing/2014/main" id="{C28E8B9F-0CB8-4B57-A918-3F5778BC13A4}"/>
              </a:ext>
            </a:extLst>
          </xdr:cNvPr>
          <xdr:cNvCxnSpPr/>
        </xdr:nvCxnSpPr>
        <xdr:spPr>
          <a:xfrm flipH="1">
            <a:off x="4010024" y="848677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Connector 1250">
            <a:extLst>
              <a:ext uri="{FF2B5EF4-FFF2-40B4-BE49-F238E27FC236}">
                <a16:creationId xmlns:a16="http://schemas.microsoft.com/office/drawing/2014/main" id="{2720EBCD-DA72-4C9A-8857-8647AA9A26D5}"/>
              </a:ext>
            </a:extLst>
          </xdr:cNvPr>
          <xdr:cNvCxnSpPr/>
        </xdr:nvCxnSpPr>
        <xdr:spPr>
          <a:xfrm>
            <a:off x="971550" y="85339248"/>
            <a:ext cx="0" cy="17097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Arrow Connector 1251">
            <a:extLst>
              <a:ext uri="{FF2B5EF4-FFF2-40B4-BE49-F238E27FC236}">
                <a16:creationId xmlns:a16="http://schemas.microsoft.com/office/drawing/2014/main" id="{7E610E6F-811A-421F-88C0-9F632CF0796D}"/>
              </a:ext>
            </a:extLst>
          </xdr:cNvPr>
          <xdr:cNvCxnSpPr/>
        </xdr:nvCxnSpPr>
        <xdr:spPr>
          <a:xfrm>
            <a:off x="971550" y="8533448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Arrow Connector 1252">
            <a:extLst>
              <a:ext uri="{FF2B5EF4-FFF2-40B4-BE49-F238E27FC236}">
                <a16:creationId xmlns:a16="http://schemas.microsoft.com/office/drawing/2014/main" id="{C9EEA79A-9939-4CD4-98EF-E11E005B2CC2}"/>
              </a:ext>
            </a:extLst>
          </xdr:cNvPr>
          <xdr:cNvCxnSpPr/>
        </xdr:nvCxnSpPr>
        <xdr:spPr>
          <a:xfrm>
            <a:off x="971550" y="8547736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Arrow Connector 1253">
            <a:extLst>
              <a:ext uri="{FF2B5EF4-FFF2-40B4-BE49-F238E27FC236}">
                <a16:creationId xmlns:a16="http://schemas.microsoft.com/office/drawing/2014/main" id="{671471A1-272D-4C15-B789-6E53208AB4FB}"/>
              </a:ext>
            </a:extLst>
          </xdr:cNvPr>
          <xdr:cNvCxnSpPr/>
        </xdr:nvCxnSpPr>
        <xdr:spPr>
          <a:xfrm>
            <a:off x="971549" y="8562023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Arrow Connector 1254">
            <a:extLst>
              <a:ext uri="{FF2B5EF4-FFF2-40B4-BE49-F238E27FC236}">
                <a16:creationId xmlns:a16="http://schemas.microsoft.com/office/drawing/2014/main" id="{C5B78774-1E96-4039-8FEF-FE2A13A4B8E3}"/>
              </a:ext>
            </a:extLst>
          </xdr:cNvPr>
          <xdr:cNvCxnSpPr/>
        </xdr:nvCxnSpPr>
        <xdr:spPr>
          <a:xfrm>
            <a:off x="971549" y="8576311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6" name="Straight Connector 1255">
            <a:extLst>
              <a:ext uri="{FF2B5EF4-FFF2-40B4-BE49-F238E27FC236}">
                <a16:creationId xmlns:a16="http://schemas.microsoft.com/office/drawing/2014/main" id="{24FA0A6A-DF0C-49A2-AE64-42D4951F114B}"/>
              </a:ext>
            </a:extLst>
          </xdr:cNvPr>
          <xdr:cNvCxnSpPr/>
        </xdr:nvCxnSpPr>
        <xdr:spPr>
          <a:xfrm>
            <a:off x="1171576" y="85334486"/>
            <a:ext cx="0" cy="17240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2" name="Straight Arrow Connector 1261">
            <a:extLst>
              <a:ext uri="{FF2B5EF4-FFF2-40B4-BE49-F238E27FC236}">
                <a16:creationId xmlns:a16="http://schemas.microsoft.com/office/drawing/2014/main" id="{89040E9C-C282-4E20-82AF-A53D4826E996}"/>
              </a:ext>
            </a:extLst>
          </xdr:cNvPr>
          <xdr:cNvCxnSpPr/>
        </xdr:nvCxnSpPr>
        <xdr:spPr>
          <a:xfrm>
            <a:off x="966788" y="85905985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3" name="Straight Arrow Connector 1262">
            <a:extLst>
              <a:ext uri="{FF2B5EF4-FFF2-40B4-BE49-F238E27FC236}">
                <a16:creationId xmlns:a16="http://schemas.microsoft.com/office/drawing/2014/main" id="{A92CD16E-D652-407E-A0DD-DE29C927BE46}"/>
              </a:ext>
            </a:extLst>
          </xdr:cNvPr>
          <xdr:cNvCxnSpPr/>
        </xdr:nvCxnSpPr>
        <xdr:spPr>
          <a:xfrm>
            <a:off x="966788" y="86048859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4" name="Straight Arrow Connector 1263">
            <a:extLst>
              <a:ext uri="{FF2B5EF4-FFF2-40B4-BE49-F238E27FC236}">
                <a16:creationId xmlns:a16="http://schemas.microsoft.com/office/drawing/2014/main" id="{75BAF56B-B705-4CC3-8F38-8BD2153E4D4A}"/>
              </a:ext>
            </a:extLst>
          </xdr:cNvPr>
          <xdr:cNvCxnSpPr/>
        </xdr:nvCxnSpPr>
        <xdr:spPr>
          <a:xfrm>
            <a:off x="966787" y="8619173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5" name="Straight Arrow Connector 1264">
            <a:extLst>
              <a:ext uri="{FF2B5EF4-FFF2-40B4-BE49-F238E27FC236}">
                <a16:creationId xmlns:a16="http://schemas.microsoft.com/office/drawing/2014/main" id="{38E1B928-0C40-486A-98EE-C9144AEB8C37}"/>
              </a:ext>
            </a:extLst>
          </xdr:cNvPr>
          <xdr:cNvCxnSpPr/>
        </xdr:nvCxnSpPr>
        <xdr:spPr>
          <a:xfrm>
            <a:off x="966787" y="8633461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6" name="Straight Arrow Connector 1265">
            <a:extLst>
              <a:ext uri="{FF2B5EF4-FFF2-40B4-BE49-F238E27FC236}">
                <a16:creationId xmlns:a16="http://schemas.microsoft.com/office/drawing/2014/main" id="{D3751AE4-A3B4-4F59-8178-C1561E2BDAEB}"/>
              </a:ext>
            </a:extLst>
          </xdr:cNvPr>
          <xdr:cNvCxnSpPr/>
        </xdr:nvCxnSpPr>
        <xdr:spPr>
          <a:xfrm>
            <a:off x="966778" y="86477492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Straight Arrow Connector 1266">
            <a:extLst>
              <a:ext uri="{FF2B5EF4-FFF2-40B4-BE49-F238E27FC236}">
                <a16:creationId xmlns:a16="http://schemas.microsoft.com/office/drawing/2014/main" id="{D32229D0-74FE-4005-A2AB-A9E17A704307}"/>
              </a:ext>
            </a:extLst>
          </xdr:cNvPr>
          <xdr:cNvCxnSpPr/>
        </xdr:nvCxnSpPr>
        <xdr:spPr>
          <a:xfrm>
            <a:off x="966778" y="8662036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8" name="Straight Arrow Connector 1267">
            <a:extLst>
              <a:ext uri="{FF2B5EF4-FFF2-40B4-BE49-F238E27FC236}">
                <a16:creationId xmlns:a16="http://schemas.microsoft.com/office/drawing/2014/main" id="{DBF205AD-9943-468C-B180-027BB25A6812}"/>
              </a:ext>
            </a:extLst>
          </xdr:cNvPr>
          <xdr:cNvCxnSpPr/>
        </xdr:nvCxnSpPr>
        <xdr:spPr>
          <a:xfrm>
            <a:off x="966777" y="86763243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9" name="Straight Arrow Connector 1268">
            <a:extLst>
              <a:ext uri="{FF2B5EF4-FFF2-40B4-BE49-F238E27FC236}">
                <a16:creationId xmlns:a16="http://schemas.microsoft.com/office/drawing/2014/main" id="{3A8B5653-19B2-4CCD-AF5B-5E8FB8D9BCA3}"/>
              </a:ext>
            </a:extLst>
          </xdr:cNvPr>
          <xdr:cNvCxnSpPr/>
        </xdr:nvCxnSpPr>
        <xdr:spPr>
          <a:xfrm>
            <a:off x="966777" y="8690611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0" name="Straight Arrow Connector 1269">
            <a:extLst>
              <a:ext uri="{FF2B5EF4-FFF2-40B4-BE49-F238E27FC236}">
                <a16:creationId xmlns:a16="http://schemas.microsoft.com/office/drawing/2014/main" id="{C835FE1B-E886-4E30-8A3E-B20C0AC0549A}"/>
              </a:ext>
            </a:extLst>
          </xdr:cNvPr>
          <xdr:cNvCxnSpPr/>
        </xdr:nvCxnSpPr>
        <xdr:spPr>
          <a:xfrm>
            <a:off x="966775" y="8704899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76191</xdr:colOff>
      <xdr:row>608</xdr:row>
      <xdr:rowOff>66675</xdr:rowOff>
    </xdr:from>
    <xdr:to>
      <xdr:col>24</xdr:col>
      <xdr:colOff>80962</xdr:colOff>
      <xdr:row>630</xdr:row>
      <xdr:rowOff>66675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49977BF-BE01-BEA1-DEE0-C1C54D8DB90F}"/>
            </a:ext>
          </a:extLst>
        </xdr:cNvPr>
        <xdr:cNvGrpSpPr/>
      </xdr:nvGrpSpPr>
      <xdr:grpSpPr>
        <a:xfrm>
          <a:off x="400041" y="88258650"/>
          <a:ext cx="3567121" cy="3143250"/>
          <a:chOff x="561966" y="88258650"/>
          <a:chExt cx="3567121" cy="3143250"/>
        </a:xfrm>
      </xdr:grpSpPr>
      <xdr:sp macro="" textlink="">
        <xdr:nvSpPr>
          <xdr:cNvPr id="1278" name="Freeform: Shape 1277">
            <a:extLst>
              <a:ext uri="{FF2B5EF4-FFF2-40B4-BE49-F238E27FC236}">
                <a16:creationId xmlns:a16="http://schemas.microsoft.com/office/drawing/2014/main" id="{3026EAD9-CDB4-41EA-A478-C9BACD36CB41}"/>
              </a:ext>
            </a:extLst>
          </xdr:cNvPr>
          <xdr:cNvSpPr/>
        </xdr:nvSpPr>
        <xdr:spPr>
          <a:xfrm>
            <a:off x="1295400" y="88330088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55EBC62C-45C3-41D6-B3AA-10E81F3CD8ED}"/>
              </a:ext>
            </a:extLst>
          </xdr:cNvPr>
          <xdr:cNvSpPr/>
        </xdr:nvSpPr>
        <xdr:spPr>
          <a:xfrm>
            <a:off x="1138238" y="904827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80" name="Oval 1279">
            <a:extLst>
              <a:ext uri="{FF2B5EF4-FFF2-40B4-BE49-F238E27FC236}">
                <a16:creationId xmlns:a16="http://schemas.microsoft.com/office/drawing/2014/main" id="{23D4C6A5-619B-467F-8360-0F82EBD813D8}"/>
              </a:ext>
            </a:extLst>
          </xdr:cNvPr>
          <xdr:cNvSpPr/>
        </xdr:nvSpPr>
        <xdr:spPr>
          <a:xfrm>
            <a:off x="1243014" y="903684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81" name="Oval 1280">
            <a:extLst>
              <a:ext uri="{FF2B5EF4-FFF2-40B4-BE49-F238E27FC236}">
                <a16:creationId xmlns:a16="http://schemas.microsoft.com/office/drawing/2014/main" id="{39097AE4-0A62-4E61-BAA7-96432A096DA5}"/>
              </a:ext>
            </a:extLst>
          </xdr:cNvPr>
          <xdr:cNvSpPr/>
        </xdr:nvSpPr>
        <xdr:spPr>
          <a:xfrm>
            <a:off x="3186114" y="9037319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82" name="Straight Connector 1281">
            <a:extLst>
              <a:ext uri="{FF2B5EF4-FFF2-40B4-BE49-F238E27FC236}">
                <a16:creationId xmlns:a16="http://schemas.microsoft.com/office/drawing/2014/main" id="{49860A96-4619-4525-BE5B-539FF298DDF8}"/>
              </a:ext>
            </a:extLst>
          </xdr:cNvPr>
          <xdr:cNvCxnSpPr/>
        </xdr:nvCxnSpPr>
        <xdr:spPr>
          <a:xfrm>
            <a:off x="1133475" y="904779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2DF64B29-0D5B-470F-A274-4B2B0D977564}"/>
              </a:ext>
            </a:extLst>
          </xdr:cNvPr>
          <xdr:cNvSpPr/>
        </xdr:nvSpPr>
        <xdr:spPr>
          <a:xfrm>
            <a:off x="3081338" y="904874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84" name="Straight Connector 1283">
            <a:extLst>
              <a:ext uri="{FF2B5EF4-FFF2-40B4-BE49-F238E27FC236}">
                <a16:creationId xmlns:a16="http://schemas.microsoft.com/office/drawing/2014/main" id="{65CBA5CE-1B56-43C9-9E92-9B084866D610}"/>
              </a:ext>
            </a:extLst>
          </xdr:cNvPr>
          <xdr:cNvCxnSpPr/>
        </xdr:nvCxnSpPr>
        <xdr:spPr>
          <a:xfrm>
            <a:off x="3076575" y="904827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Straight Connector 1284">
            <a:extLst>
              <a:ext uri="{FF2B5EF4-FFF2-40B4-BE49-F238E27FC236}">
                <a16:creationId xmlns:a16="http://schemas.microsoft.com/office/drawing/2014/main" id="{F7CBB660-03F1-4E65-9344-8C90B4612CD3}"/>
              </a:ext>
            </a:extLst>
          </xdr:cNvPr>
          <xdr:cNvCxnSpPr/>
        </xdr:nvCxnSpPr>
        <xdr:spPr>
          <a:xfrm>
            <a:off x="561975" y="88763475"/>
            <a:ext cx="6429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6" name="Straight Connector 1285">
            <a:extLst>
              <a:ext uri="{FF2B5EF4-FFF2-40B4-BE49-F238E27FC236}">
                <a16:creationId xmlns:a16="http://schemas.microsoft.com/office/drawing/2014/main" id="{0271FF78-36D3-4DE7-9382-AD73FE8A712C}"/>
              </a:ext>
            </a:extLst>
          </xdr:cNvPr>
          <xdr:cNvCxnSpPr/>
        </xdr:nvCxnSpPr>
        <xdr:spPr>
          <a:xfrm>
            <a:off x="647701" y="8825865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7" name="Straight Connector 1286">
            <a:extLst>
              <a:ext uri="{FF2B5EF4-FFF2-40B4-BE49-F238E27FC236}">
                <a16:creationId xmlns:a16="http://schemas.microsoft.com/office/drawing/2014/main" id="{4070A119-D329-40AE-893E-5797288A14FE}"/>
              </a:ext>
            </a:extLst>
          </xdr:cNvPr>
          <xdr:cNvCxnSpPr/>
        </xdr:nvCxnSpPr>
        <xdr:spPr>
          <a:xfrm flipH="1">
            <a:off x="609600" y="8872537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8" name="Straight Connector 1287">
            <a:extLst>
              <a:ext uri="{FF2B5EF4-FFF2-40B4-BE49-F238E27FC236}">
                <a16:creationId xmlns:a16="http://schemas.microsoft.com/office/drawing/2014/main" id="{EB46D183-313F-4D3E-9B2A-283D616ED94F}"/>
              </a:ext>
            </a:extLst>
          </xdr:cNvPr>
          <xdr:cNvCxnSpPr/>
        </xdr:nvCxnSpPr>
        <xdr:spPr>
          <a:xfrm>
            <a:off x="561976" y="90477976"/>
            <a:ext cx="3000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9" name="Straight Connector 1288">
            <a:extLst>
              <a:ext uri="{FF2B5EF4-FFF2-40B4-BE49-F238E27FC236}">
                <a16:creationId xmlns:a16="http://schemas.microsoft.com/office/drawing/2014/main" id="{6FF99D36-1119-486F-81AF-A60ECF4FE6BD}"/>
              </a:ext>
            </a:extLst>
          </xdr:cNvPr>
          <xdr:cNvCxnSpPr/>
        </xdr:nvCxnSpPr>
        <xdr:spPr>
          <a:xfrm flipH="1">
            <a:off x="609597" y="904398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0" name="Straight Connector 1289">
            <a:extLst>
              <a:ext uri="{FF2B5EF4-FFF2-40B4-BE49-F238E27FC236}">
                <a16:creationId xmlns:a16="http://schemas.microsoft.com/office/drawing/2014/main" id="{B79FC739-BBDE-4D12-9656-BA65AE6FA4DD}"/>
              </a:ext>
            </a:extLst>
          </xdr:cNvPr>
          <xdr:cNvCxnSpPr/>
        </xdr:nvCxnSpPr>
        <xdr:spPr>
          <a:xfrm>
            <a:off x="1295400" y="911018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1" name="Straight Connector 1290">
            <a:extLst>
              <a:ext uri="{FF2B5EF4-FFF2-40B4-BE49-F238E27FC236}">
                <a16:creationId xmlns:a16="http://schemas.microsoft.com/office/drawing/2014/main" id="{DD37DB66-B8C1-41DD-A9D8-180F3A99AB71}"/>
              </a:ext>
            </a:extLst>
          </xdr:cNvPr>
          <xdr:cNvCxnSpPr/>
        </xdr:nvCxnSpPr>
        <xdr:spPr>
          <a:xfrm>
            <a:off x="1214439" y="9133522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2" name="Straight Connector 1291">
            <a:extLst>
              <a:ext uri="{FF2B5EF4-FFF2-40B4-BE49-F238E27FC236}">
                <a16:creationId xmlns:a16="http://schemas.microsoft.com/office/drawing/2014/main" id="{56F68E62-4B0D-4B7C-9054-410E11EE24BA}"/>
              </a:ext>
            </a:extLst>
          </xdr:cNvPr>
          <xdr:cNvCxnSpPr/>
        </xdr:nvCxnSpPr>
        <xdr:spPr>
          <a:xfrm flipH="1">
            <a:off x="1257302" y="912971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Straight Connector 1292">
            <a:extLst>
              <a:ext uri="{FF2B5EF4-FFF2-40B4-BE49-F238E27FC236}">
                <a16:creationId xmlns:a16="http://schemas.microsoft.com/office/drawing/2014/main" id="{5BD19059-3C06-4886-A86B-DFD097073DA4}"/>
              </a:ext>
            </a:extLst>
          </xdr:cNvPr>
          <xdr:cNvCxnSpPr/>
        </xdr:nvCxnSpPr>
        <xdr:spPr>
          <a:xfrm>
            <a:off x="3238503" y="911161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4" name="Straight Connector 1293">
            <a:extLst>
              <a:ext uri="{FF2B5EF4-FFF2-40B4-BE49-F238E27FC236}">
                <a16:creationId xmlns:a16="http://schemas.microsoft.com/office/drawing/2014/main" id="{1822D49F-CF4F-4E6C-B797-CA66725B94F8}"/>
              </a:ext>
            </a:extLst>
          </xdr:cNvPr>
          <xdr:cNvCxnSpPr/>
        </xdr:nvCxnSpPr>
        <xdr:spPr>
          <a:xfrm flipH="1">
            <a:off x="3200405" y="912971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Arrow Connector 1294">
            <a:extLst>
              <a:ext uri="{FF2B5EF4-FFF2-40B4-BE49-F238E27FC236}">
                <a16:creationId xmlns:a16="http://schemas.microsoft.com/office/drawing/2014/main" id="{0CFBADE0-C88A-40B0-9D06-B34208FA70E7}"/>
              </a:ext>
            </a:extLst>
          </xdr:cNvPr>
          <xdr:cNvCxnSpPr/>
        </xdr:nvCxnSpPr>
        <xdr:spPr>
          <a:xfrm flipV="1">
            <a:off x="3233738" y="9061131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Straight Arrow Connector 1295">
            <a:extLst>
              <a:ext uri="{FF2B5EF4-FFF2-40B4-BE49-F238E27FC236}">
                <a16:creationId xmlns:a16="http://schemas.microsoft.com/office/drawing/2014/main" id="{B2953808-FD32-4C86-B3C3-148B82ED122F}"/>
              </a:ext>
            </a:extLst>
          </xdr:cNvPr>
          <xdr:cNvCxnSpPr/>
        </xdr:nvCxnSpPr>
        <xdr:spPr>
          <a:xfrm flipV="1">
            <a:off x="1295400" y="90597032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Arrow Connector 1296">
            <a:extLst>
              <a:ext uri="{FF2B5EF4-FFF2-40B4-BE49-F238E27FC236}">
                <a16:creationId xmlns:a16="http://schemas.microsoft.com/office/drawing/2014/main" id="{0C82D3DE-A7C7-496D-BC80-988FC0A147BC}"/>
              </a:ext>
            </a:extLst>
          </xdr:cNvPr>
          <xdr:cNvCxnSpPr/>
        </xdr:nvCxnSpPr>
        <xdr:spPr>
          <a:xfrm>
            <a:off x="1481135" y="90473206"/>
            <a:ext cx="300037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8" name="Straight Arrow Connector 1297">
            <a:extLst>
              <a:ext uri="{FF2B5EF4-FFF2-40B4-BE49-F238E27FC236}">
                <a16:creationId xmlns:a16="http://schemas.microsoft.com/office/drawing/2014/main" id="{C7AB491E-5772-4B1C-95BC-5EA03AE6D8C8}"/>
              </a:ext>
            </a:extLst>
          </xdr:cNvPr>
          <xdr:cNvCxnSpPr/>
        </xdr:nvCxnSpPr>
        <xdr:spPr>
          <a:xfrm flipH="1">
            <a:off x="2724149" y="90477976"/>
            <a:ext cx="309563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Connector 1298">
            <a:extLst>
              <a:ext uri="{FF2B5EF4-FFF2-40B4-BE49-F238E27FC236}">
                <a16:creationId xmlns:a16="http://schemas.microsoft.com/office/drawing/2014/main" id="{1024C63E-0DF4-4621-AEEE-D721AF59BF8F}"/>
              </a:ext>
            </a:extLst>
          </xdr:cNvPr>
          <xdr:cNvCxnSpPr/>
        </xdr:nvCxnSpPr>
        <xdr:spPr>
          <a:xfrm>
            <a:off x="561966" y="88334851"/>
            <a:ext cx="2347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Connector 1299">
            <a:extLst>
              <a:ext uri="{FF2B5EF4-FFF2-40B4-BE49-F238E27FC236}">
                <a16:creationId xmlns:a16="http://schemas.microsoft.com/office/drawing/2014/main" id="{9F8825E3-FF37-4D61-8146-C2BAB9F11DEF}"/>
              </a:ext>
            </a:extLst>
          </xdr:cNvPr>
          <xdr:cNvCxnSpPr/>
        </xdr:nvCxnSpPr>
        <xdr:spPr>
          <a:xfrm flipH="1">
            <a:off x="609591" y="882967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Connector 1300">
            <a:extLst>
              <a:ext uri="{FF2B5EF4-FFF2-40B4-BE49-F238E27FC236}">
                <a16:creationId xmlns:a16="http://schemas.microsoft.com/office/drawing/2014/main" id="{3709DBB5-B20D-4C6C-96E5-1E5915A02975}"/>
              </a:ext>
            </a:extLst>
          </xdr:cNvPr>
          <xdr:cNvCxnSpPr/>
        </xdr:nvCxnSpPr>
        <xdr:spPr>
          <a:xfrm>
            <a:off x="4048134" y="88258650"/>
            <a:ext cx="0" cy="2305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2" name="Straight Connector 1301">
            <a:extLst>
              <a:ext uri="{FF2B5EF4-FFF2-40B4-BE49-F238E27FC236}">
                <a16:creationId xmlns:a16="http://schemas.microsoft.com/office/drawing/2014/main" id="{03D3E93D-91A8-4F15-A2DF-E74CB358B974}"/>
              </a:ext>
            </a:extLst>
          </xdr:cNvPr>
          <xdr:cNvCxnSpPr/>
        </xdr:nvCxnSpPr>
        <xdr:spPr>
          <a:xfrm>
            <a:off x="3657600" y="90477976"/>
            <a:ext cx="45720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3" name="Straight Connector 1302">
            <a:extLst>
              <a:ext uri="{FF2B5EF4-FFF2-40B4-BE49-F238E27FC236}">
                <a16:creationId xmlns:a16="http://schemas.microsoft.com/office/drawing/2014/main" id="{4CBC784C-B492-4FF5-A8B5-385BBBAA066B}"/>
              </a:ext>
            </a:extLst>
          </xdr:cNvPr>
          <xdr:cNvCxnSpPr/>
        </xdr:nvCxnSpPr>
        <xdr:spPr>
          <a:xfrm flipH="1">
            <a:off x="4010033" y="904398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4" name="Straight Connector 1303">
            <a:extLst>
              <a:ext uri="{FF2B5EF4-FFF2-40B4-BE49-F238E27FC236}">
                <a16:creationId xmlns:a16="http://schemas.microsoft.com/office/drawing/2014/main" id="{6411E035-7ACB-4FAB-BA60-E36DE08BF1CA}"/>
              </a:ext>
            </a:extLst>
          </xdr:cNvPr>
          <xdr:cNvCxnSpPr/>
        </xdr:nvCxnSpPr>
        <xdr:spPr>
          <a:xfrm>
            <a:off x="3648075" y="88334851"/>
            <a:ext cx="4810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Connector 1304">
            <a:extLst>
              <a:ext uri="{FF2B5EF4-FFF2-40B4-BE49-F238E27FC236}">
                <a16:creationId xmlns:a16="http://schemas.microsoft.com/office/drawing/2014/main" id="{4FD62606-A196-48B2-9109-A6BFDC339E83}"/>
              </a:ext>
            </a:extLst>
          </xdr:cNvPr>
          <xdr:cNvCxnSpPr/>
        </xdr:nvCxnSpPr>
        <xdr:spPr>
          <a:xfrm flipH="1">
            <a:off x="4010024" y="882967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Straight Connector 1307">
            <a:extLst>
              <a:ext uri="{FF2B5EF4-FFF2-40B4-BE49-F238E27FC236}">
                <a16:creationId xmlns:a16="http://schemas.microsoft.com/office/drawing/2014/main" id="{D7A50541-F570-4E76-8E25-4774AAF2B643}"/>
              </a:ext>
            </a:extLst>
          </xdr:cNvPr>
          <xdr:cNvCxnSpPr/>
        </xdr:nvCxnSpPr>
        <xdr:spPr>
          <a:xfrm>
            <a:off x="3362337" y="88334850"/>
            <a:ext cx="0" cy="2143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9" name="Straight Arrow Connector 1308">
            <a:extLst>
              <a:ext uri="{FF2B5EF4-FFF2-40B4-BE49-F238E27FC236}">
                <a16:creationId xmlns:a16="http://schemas.microsoft.com/office/drawing/2014/main" id="{018ED35B-DC39-4879-97FD-BC040EAC160A}"/>
              </a:ext>
            </a:extLst>
          </xdr:cNvPr>
          <xdr:cNvCxnSpPr/>
        </xdr:nvCxnSpPr>
        <xdr:spPr>
          <a:xfrm>
            <a:off x="3362337" y="88763486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0" name="Straight Arrow Connector 1309">
            <a:extLst>
              <a:ext uri="{FF2B5EF4-FFF2-40B4-BE49-F238E27FC236}">
                <a16:creationId xmlns:a16="http://schemas.microsoft.com/office/drawing/2014/main" id="{7FC79C43-F628-4C62-9AD6-0C48B4F06C72}"/>
              </a:ext>
            </a:extLst>
          </xdr:cNvPr>
          <xdr:cNvCxnSpPr/>
        </xdr:nvCxnSpPr>
        <xdr:spPr>
          <a:xfrm>
            <a:off x="3362337" y="88906360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1" name="Straight Arrow Connector 1310">
            <a:extLst>
              <a:ext uri="{FF2B5EF4-FFF2-40B4-BE49-F238E27FC236}">
                <a16:creationId xmlns:a16="http://schemas.microsoft.com/office/drawing/2014/main" id="{B23536FA-04D9-46C7-8390-3783054E3A0E}"/>
              </a:ext>
            </a:extLst>
          </xdr:cNvPr>
          <xdr:cNvCxnSpPr/>
        </xdr:nvCxnSpPr>
        <xdr:spPr>
          <a:xfrm>
            <a:off x="3362336" y="89049237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2" name="Straight Arrow Connector 1311">
            <a:extLst>
              <a:ext uri="{FF2B5EF4-FFF2-40B4-BE49-F238E27FC236}">
                <a16:creationId xmlns:a16="http://schemas.microsoft.com/office/drawing/2014/main" id="{99619F60-5260-4FC3-9B3F-B14580CF4A07}"/>
              </a:ext>
            </a:extLst>
          </xdr:cNvPr>
          <xdr:cNvCxnSpPr/>
        </xdr:nvCxnSpPr>
        <xdr:spPr>
          <a:xfrm>
            <a:off x="3362336" y="89192111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3" name="Straight Connector 1312">
            <a:extLst>
              <a:ext uri="{FF2B5EF4-FFF2-40B4-BE49-F238E27FC236}">
                <a16:creationId xmlns:a16="http://schemas.microsoft.com/office/drawing/2014/main" id="{9640E307-A854-4546-A228-64913483D4BB}"/>
              </a:ext>
            </a:extLst>
          </xdr:cNvPr>
          <xdr:cNvCxnSpPr/>
        </xdr:nvCxnSpPr>
        <xdr:spPr>
          <a:xfrm>
            <a:off x="3562363" y="88334850"/>
            <a:ext cx="0" cy="2152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4" name="Straight Arrow Connector 1313">
            <a:extLst>
              <a:ext uri="{FF2B5EF4-FFF2-40B4-BE49-F238E27FC236}">
                <a16:creationId xmlns:a16="http://schemas.microsoft.com/office/drawing/2014/main" id="{95E125E4-4C8F-4678-B758-2CE02AA0684C}"/>
              </a:ext>
            </a:extLst>
          </xdr:cNvPr>
          <xdr:cNvCxnSpPr/>
        </xdr:nvCxnSpPr>
        <xdr:spPr>
          <a:xfrm>
            <a:off x="3357575" y="89334985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5" name="Straight Arrow Connector 1314">
            <a:extLst>
              <a:ext uri="{FF2B5EF4-FFF2-40B4-BE49-F238E27FC236}">
                <a16:creationId xmlns:a16="http://schemas.microsoft.com/office/drawing/2014/main" id="{08C7CCAE-7858-4F20-93B1-D69E7A36480C}"/>
              </a:ext>
            </a:extLst>
          </xdr:cNvPr>
          <xdr:cNvCxnSpPr/>
        </xdr:nvCxnSpPr>
        <xdr:spPr>
          <a:xfrm>
            <a:off x="3357575" y="89477859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6" name="Straight Arrow Connector 1315">
            <a:extLst>
              <a:ext uri="{FF2B5EF4-FFF2-40B4-BE49-F238E27FC236}">
                <a16:creationId xmlns:a16="http://schemas.microsoft.com/office/drawing/2014/main" id="{7DC329DB-A3E9-4785-A305-17423F927B98}"/>
              </a:ext>
            </a:extLst>
          </xdr:cNvPr>
          <xdr:cNvCxnSpPr/>
        </xdr:nvCxnSpPr>
        <xdr:spPr>
          <a:xfrm>
            <a:off x="3357574" y="89620736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Straight Arrow Connector 1316">
            <a:extLst>
              <a:ext uri="{FF2B5EF4-FFF2-40B4-BE49-F238E27FC236}">
                <a16:creationId xmlns:a16="http://schemas.microsoft.com/office/drawing/2014/main" id="{076D4655-1E1D-464D-A4C6-D867C13140F3}"/>
              </a:ext>
            </a:extLst>
          </xdr:cNvPr>
          <xdr:cNvCxnSpPr/>
        </xdr:nvCxnSpPr>
        <xdr:spPr>
          <a:xfrm>
            <a:off x="3357574" y="89763610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Arrow Connector 1317">
            <a:extLst>
              <a:ext uri="{FF2B5EF4-FFF2-40B4-BE49-F238E27FC236}">
                <a16:creationId xmlns:a16="http://schemas.microsoft.com/office/drawing/2014/main" id="{2AF95D00-FC62-4058-9638-BBDFC5394F86}"/>
              </a:ext>
            </a:extLst>
          </xdr:cNvPr>
          <xdr:cNvCxnSpPr/>
        </xdr:nvCxnSpPr>
        <xdr:spPr>
          <a:xfrm>
            <a:off x="3357565" y="89906492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Arrow Connector 1318">
            <a:extLst>
              <a:ext uri="{FF2B5EF4-FFF2-40B4-BE49-F238E27FC236}">
                <a16:creationId xmlns:a16="http://schemas.microsoft.com/office/drawing/2014/main" id="{4C2E7765-3DAA-4455-8AA8-ADC149785F50}"/>
              </a:ext>
            </a:extLst>
          </xdr:cNvPr>
          <xdr:cNvCxnSpPr/>
        </xdr:nvCxnSpPr>
        <xdr:spPr>
          <a:xfrm>
            <a:off x="3357565" y="90049366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Straight Arrow Connector 1319">
            <a:extLst>
              <a:ext uri="{FF2B5EF4-FFF2-40B4-BE49-F238E27FC236}">
                <a16:creationId xmlns:a16="http://schemas.microsoft.com/office/drawing/2014/main" id="{D9EBBD29-FA04-4980-9642-DC8629EB1486}"/>
              </a:ext>
            </a:extLst>
          </xdr:cNvPr>
          <xdr:cNvCxnSpPr/>
        </xdr:nvCxnSpPr>
        <xdr:spPr>
          <a:xfrm>
            <a:off x="3357564" y="90192243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Arrow Connector 1320">
            <a:extLst>
              <a:ext uri="{FF2B5EF4-FFF2-40B4-BE49-F238E27FC236}">
                <a16:creationId xmlns:a16="http://schemas.microsoft.com/office/drawing/2014/main" id="{6DA2D664-939A-4FD0-85EF-6945A7ACE7C6}"/>
              </a:ext>
            </a:extLst>
          </xdr:cNvPr>
          <xdr:cNvCxnSpPr/>
        </xdr:nvCxnSpPr>
        <xdr:spPr>
          <a:xfrm>
            <a:off x="3357564" y="90335117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Straight Arrow Connector 1321">
            <a:extLst>
              <a:ext uri="{FF2B5EF4-FFF2-40B4-BE49-F238E27FC236}">
                <a16:creationId xmlns:a16="http://schemas.microsoft.com/office/drawing/2014/main" id="{E3A9A7A5-6337-455D-A2C7-3BAA54E7D410}"/>
              </a:ext>
            </a:extLst>
          </xdr:cNvPr>
          <xdr:cNvCxnSpPr/>
        </xdr:nvCxnSpPr>
        <xdr:spPr>
          <a:xfrm>
            <a:off x="3357562" y="90477991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8" name="Straight Arrow Connector 1327">
            <a:extLst>
              <a:ext uri="{FF2B5EF4-FFF2-40B4-BE49-F238E27FC236}">
                <a16:creationId xmlns:a16="http://schemas.microsoft.com/office/drawing/2014/main" id="{88776FD9-E456-4D06-809F-91746E89AB60}"/>
              </a:ext>
            </a:extLst>
          </xdr:cNvPr>
          <xdr:cNvCxnSpPr/>
        </xdr:nvCxnSpPr>
        <xdr:spPr>
          <a:xfrm>
            <a:off x="3362339" y="88334862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9" name="Straight Arrow Connector 1328">
            <a:extLst>
              <a:ext uri="{FF2B5EF4-FFF2-40B4-BE49-F238E27FC236}">
                <a16:creationId xmlns:a16="http://schemas.microsoft.com/office/drawing/2014/main" id="{761D7994-C4AB-494E-B183-A99B7ED3AA7F}"/>
              </a:ext>
            </a:extLst>
          </xdr:cNvPr>
          <xdr:cNvCxnSpPr/>
        </xdr:nvCxnSpPr>
        <xdr:spPr>
          <a:xfrm>
            <a:off x="3362339" y="88477736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0" name="Straight Arrow Connector 1329">
            <a:extLst>
              <a:ext uri="{FF2B5EF4-FFF2-40B4-BE49-F238E27FC236}">
                <a16:creationId xmlns:a16="http://schemas.microsoft.com/office/drawing/2014/main" id="{E25D9048-3200-4C4F-9134-CEFBCECFFE74}"/>
              </a:ext>
            </a:extLst>
          </xdr:cNvPr>
          <xdr:cNvCxnSpPr/>
        </xdr:nvCxnSpPr>
        <xdr:spPr>
          <a:xfrm>
            <a:off x="3362338" y="88620613"/>
            <a:ext cx="204788" cy="0"/>
          </a:xfrm>
          <a:prstGeom prst="straightConnector1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80964</xdr:colOff>
      <xdr:row>636</xdr:row>
      <xdr:rowOff>0</xdr:rowOff>
    </xdr:from>
    <xdr:to>
      <xdr:col>32</xdr:col>
      <xdr:colOff>4762</xdr:colOff>
      <xdr:row>661</xdr:row>
      <xdr:rowOff>66675</xdr:rowOff>
    </xdr:to>
    <xdr:grpSp>
      <xdr:nvGrpSpPr>
        <xdr:cNvPr id="289" name="Group 288">
          <a:extLst>
            <a:ext uri="{FF2B5EF4-FFF2-40B4-BE49-F238E27FC236}">
              <a16:creationId xmlns:a16="http://schemas.microsoft.com/office/drawing/2014/main" id="{70B22BC8-EF78-E204-0A24-C2174065401B}"/>
            </a:ext>
          </a:extLst>
        </xdr:cNvPr>
        <xdr:cNvGrpSpPr/>
      </xdr:nvGrpSpPr>
      <xdr:grpSpPr>
        <a:xfrm>
          <a:off x="404814" y="92630625"/>
          <a:ext cx="4781548" cy="3638550"/>
          <a:chOff x="566739" y="92630625"/>
          <a:chExt cx="4781548" cy="3638550"/>
        </a:xfrm>
      </xdr:grpSpPr>
      <xdr:sp macro="" textlink="">
        <xdr:nvSpPr>
          <xdr:cNvPr id="1351" name="Freeform: Shape 1350">
            <a:extLst>
              <a:ext uri="{FF2B5EF4-FFF2-40B4-BE49-F238E27FC236}">
                <a16:creationId xmlns:a16="http://schemas.microsoft.com/office/drawing/2014/main" id="{A86D7608-ABE1-2267-588A-744721602E11}"/>
              </a:ext>
            </a:extLst>
          </xdr:cNvPr>
          <xdr:cNvSpPr/>
        </xdr:nvSpPr>
        <xdr:spPr>
          <a:xfrm>
            <a:off x="1300162" y="9292113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B762BC7C-C4E4-478C-89E5-18DBAFC01EBB}"/>
              </a:ext>
            </a:extLst>
          </xdr:cNvPr>
          <xdr:cNvSpPr/>
        </xdr:nvSpPr>
        <xdr:spPr>
          <a:xfrm>
            <a:off x="1138238" y="953500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53" name="Oval 1352">
            <a:extLst>
              <a:ext uri="{FF2B5EF4-FFF2-40B4-BE49-F238E27FC236}">
                <a16:creationId xmlns:a16="http://schemas.microsoft.com/office/drawing/2014/main" id="{8E2EA428-A324-4613-93F4-4DFD24450633}"/>
              </a:ext>
            </a:extLst>
          </xdr:cNvPr>
          <xdr:cNvSpPr/>
        </xdr:nvSpPr>
        <xdr:spPr>
          <a:xfrm>
            <a:off x="1243014" y="952357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54" name="Oval 1353">
            <a:extLst>
              <a:ext uri="{FF2B5EF4-FFF2-40B4-BE49-F238E27FC236}">
                <a16:creationId xmlns:a16="http://schemas.microsoft.com/office/drawing/2014/main" id="{C9602DF8-55E2-457C-9CA4-B60EB6A3D8FF}"/>
              </a:ext>
            </a:extLst>
          </xdr:cNvPr>
          <xdr:cNvSpPr/>
        </xdr:nvSpPr>
        <xdr:spPr>
          <a:xfrm>
            <a:off x="4805364" y="952404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55" name="Straight Connector 1354">
            <a:extLst>
              <a:ext uri="{FF2B5EF4-FFF2-40B4-BE49-F238E27FC236}">
                <a16:creationId xmlns:a16="http://schemas.microsoft.com/office/drawing/2014/main" id="{D4E0A8DF-DC43-41A5-AB75-B2FA6EECB7EB}"/>
              </a:ext>
            </a:extLst>
          </xdr:cNvPr>
          <xdr:cNvCxnSpPr/>
        </xdr:nvCxnSpPr>
        <xdr:spPr>
          <a:xfrm>
            <a:off x="1133475" y="953452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5B83C986-106B-42B3-BA2A-E5674DD94D81}"/>
              </a:ext>
            </a:extLst>
          </xdr:cNvPr>
          <xdr:cNvSpPr/>
        </xdr:nvSpPr>
        <xdr:spPr>
          <a:xfrm>
            <a:off x="4700588" y="953547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57" name="Straight Connector 1356">
            <a:extLst>
              <a:ext uri="{FF2B5EF4-FFF2-40B4-BE49-F238E27FC236}">
                <a16:creationId xmlns:a16="http://schemas.microsoft.com/office/drawing/2014/main" id="{8A0C5CDA-5427-498B-9E66-8ADC77A26612}"/>
              </a:ext>
            </a:extLst>
          </xdr:cNvPr>
          <xdr:cNvCxnSpPr/>
        </xdr:nvCxnSpPr>
        <xdr:spPr>
          <a:xfrm>
            <a:off x="4695825" y="953500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Straight Connector 1357">
            <a:extLst>
              <a:ext uri="{FF2B5EF4-FFF2-40B4-BE49-F238E27FC236}">
                <a16:creationId xmlns:a16="http://schemas.microsoft.com/office/drawing/2014/main" id="{C2C55241-7B7B-4CBB-838D-5D198978925F}"/>
              </a:ext>
            </a:extLst>
          </xdr:cNvPr>
          <xdr:cNvCxnSpPr/>
        </xdr:nvCxnSpPr>
        <xdr:spPr>
          <a:xfrm>
            <a:off x="566739" y="9534525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9" name="Straight Connector 1358">
            <a:extLst>
              <a:ext uri="{FF2B5EF4-FFF2-40B4-BE49-F238E27FC236}">
                <a16:creationId xmlns:a16="http://schemas.microsoft.com/office/drawing/2014/main" id="{3CE70988-75F9-45E6-8879-A15FAD58461F}"/>
              </a:ext>
            </a:extLst>
          </xdr:cNvPr>
          <xdr:cNvCxnSpPr/>
        </xdr:nvCxnSpPr>
        <xdr:spPr>
          <a:xfrm flipH="1">
            <a:off x="609601" y="953071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0" name="Straight Arrow Connector 1359">
            <a:extLst>
              <a:ext uri="{FF2B5EF4-FFF2-40B4-BE49-F238E27FC236}">
                <a16:creationId xmlns:a16="http://schemas.microsoft.com/office/drawing/2014/main" id="{EC4CF906-7E87-436A-928E-847206F14269}"/>
              </a:ext>
            </a:extLst>
          </xdr:cNvPr>
          <xdr:cNvCxnSpPr/>
        </xdr:nvCxnSpPr>
        <xdr:spPr>
          <a:xfrm flipV="1">
            <a:off x="1295400" y="9546906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1" name="Straight Arrow Connector 1360">
            <a:extLst>
              <a:ext uri="{FF2B5EF4-FFF2-40B4-BE49-F238E27FC236}">
                <a16:creationId xmlns:a16="http://schemas.microsoft.com/office/drawing/2014/main" id="{10CCDED0-FF47-4694-980C-A8440606CC6A}"/>
              </a:ext>
            </a:extLst>
          </xdr:cNvPr>
          <xdr:cNvCxnSpPr/>
        </xdr:nvCxnSpPr>
        <xdr:spPr>
          <a:xfrm flipV="1">
            <a:off x="4857750" y="954690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2" name="Straight Arrow Connector 1361">
            <a:extLst>
              <a:ext uri="{FF2B5EF4-FFF2-40B4-BE49-F238E27FC236}">
                <a16:creationId xmlns:a16="http://schemas.microsoft.com/office/drawing/2014/main" id="{2ACB325B-860F-4A19-9D19-6FFDA5C7B824}"/>
              </a:ext>
            </a:extLst>
          </xdr:cNvPr>
          <xdr:cNvCxnSpPr/>
        </xdr:nvCxnSpPr>
        <xdr:spPr>
          <a:xfrm>
            <a:off x="823913" y="9534524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3" name="Straight Arrow Connector 1362">
            <a:extLst>
              <a:ext uri="{FF2B5EF4-FFF2-40B4-BE49-F238E27FC236}">
                <a16:creationId xmlns:a16="http://schemas.microsoft.com/office/drawing/2014/main" id="{1E4CC17A-8D20-4591-8851-6493371C2125}"/>
              </a:ext>
            </a:extLst>
          </xdr:cNvPr>
          <xdr:cNvCxnSpPr/>
        </xdr:nvCxnSpPr>
        <xdr:spPr>
          <a:xfrm flipH="1">
            <a:off x="5038724" y="953452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5" name="Straight Connector 1364">
            <a:extLst>
              <a:ext uri="{FF2B5EF4-FFF2-40B4-BE49-F238E27FC236}">
                <a16:creationId xmlns:a16="http://schemas.microsoft.com/office/drawing/2014/main" id="{F433A0D6-B419-027C-BF55-76D0774EC207}"/>
              </a:ext>
            </a:extLst>
          </xdr:cNvPr>
          <xdr:cNvCxnSpPr/>
        </xdr:nvCxnSpPr>
        <xdr:spPr>
          <a:xfrm flipV="1">
            <a:off x="647700" y="9284970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9" name="Straight Connector 1368">
            <a:extLst>
              <a:ext uri="{FF2B5EF4-FFF2-40B4-BE49-F238E27FC236}">
                <a16:creationId xmlns:a16="http://schemas.microsoft.com/office/drawing/2014/main" id="{78959721-F5AE-3957-7499-93A062588383}"/>
              </a:ext>
            </a:extLst>
          </xdr:cNvPr>
          <xdr:cNvCxnSpPr/>
        </xdr:nvCxnSpPr>
        <xdr:spPr>
          <a:xfrm>
            <a:off x="581025" y="9291637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Connector 1372">
            <a:extLst>
              <a:ext uri="{FF2B5EF4-FFF2-40B4-BE49-F238E27FC236}">
                <a16:creationId xmlns:a16="http://schemas.microsoft.com/office/drawing/2014/main" id="{523747BF-15E8-97BA-0FA0-A3BF9C3768A4}"/>
              </a:ext>
            </a:extLst>
          </xdr:cNvPr>
          <xdr:cNvCxnSpPr/>
        </xdr:nvCxnSpPr>
        <xdr:spPr>
          <a:xfrm flipH="1">
            <a:off x="614363" y="928878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Connector 1376">
            <a:extLst>
              <a:ext uri="{FF2B5EF4-FFF2-40B4-BE49-F238E27FC236}">
                <a16:creationId xmlns:a16="http://schemas.microsoft.com/office/drawing/2014/main" id="{9615DADE-5F5F-4996-BB55-EF3CD9341A7B}"/>
              </a:ext>
            </a:extLst>
          </xdr:cNvPr>
          <xdr:cNvCxnSpPr/>
        </xdr:nvCxnSpPr>
        <xdr:spPr>
          <a:xfrm>
            <a:off x="581025" y="93630751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Connector 1377">
            <a:extLst>
              <a:ext uri="{FF2B5EF4-FFF2-40B4-BE49-F238E27FC236}">
                <a16:creationId xmlns:a16="http://schemas.microsoft.com/office/drawing/2014/main" id="{65676D81-5918-490D-8BD0-6F9F2A1178EB}"/>
              </a:ext>
            </a:extLst>
          </xdr:cNvPr>
          <xdr:cNvCxnSpPr/>
        </xdr:nvCxnSpPr>
        <xdr:spPr>
          <a:xfrm flipH="1">
            <a:off x="614363" y="936021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Arrow Connector 1379">
            <a:extLst>
              <a:ext uri="{FF2B5EF4-FFF2-40B4-BE49-F238E27FC236}">
                <a16:creationId xmlns:a16="http://schemas.microsoft.com/office/drawing/2014/main" id="{6CA1EC6B-15B1-4332-AD71-904FD37D4CD5}"/>
              </a:ext>
            </a:extLst>
          </xdr:cNvPr>
          <xdr:cNvCxnSpPr/>
        </xdr:nvCxnSpPr>
        <xdr:spPr>
          <a:xfrm>
            <a:off x="1295399" y="926401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FAA90640-476B-4B17-88E7-B9D34D56329D}"/>
              </a:ext>
            </a:extLst>
          </xdr:cNvPr>
          <xdr:cNvCxnSpPr/>
        </xdr:nvCxnSpPr>
        <xdr:spPr>
          <a:xfrm>
            <a:off x="1290637" y="92630636"/>
            <a:ext cx="35671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2" name="Straight Arrow Connector 1381">
            <a:extLst>
              <a:ext uri="{FF2B5EF4-FFF2-40B4-BE49-F238E27FC236}">
                <a16:creationId xmlns:a16="http://schemas.microsoft.com/office/drawing/2014/main" id="{EC6AF180-1FD2-4364-BAA7-784C9D0E1396}"/>
              </a:ext>
            </a:extLst>
          </xdr:cNvPr>
          <xdr:cNvCxnSpPr/>
        </xdr:nvCxnSpPr>
        <xdr:spPr>
          <a:xfrm>
            <a:off x="1457324" y="926401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3" name="Straight Arrow Connector 1382">
            <a:extLst>
              <a:ext uri="{FF2B5EF4-FFF2-40B4-BE49-F238E27FC236}">
                <a16:creationId xmlns:a16="http://schemas.microsoft.com/office/drawing/2014/main" id="{99AF4C8F-18BF-4610-B426-13E22748A0E6}"/>
              </a:ext>
            </a:extLst>
          </xdr:cNvPr>
          <xdr:cNvCxnSpPr/>
        </xdr:nvCxnSpPr>
        <xdr:spPr>
          <a:xfrm>
            <a:off x="1619250" y="926401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Arrow Connector 1383">
            <a:extLst>
              <a:ext uri="{FF2B5EF4-FFF2-40B4-BE49-F238E27FC236}">
                <a16:creationId xmlns:a16="http://schemas.microsoft.com/office/drawing/2014/main" id="{C317D8BF-2B11-40A8-A049-06040613A2B2}"/>
              </a:ext>
            </a:extLst>
          </xdr:cNvPr>
          <xdr:cNvCxnSpPr/>
        </xdr:nvCxnSpPr>
        <xdr:spPr>
          <a:xfrm>
            <a:off x="1781175" y="926401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Arrow Connector 1384">
            <a:extLst>
              <a:ext uri="{FF2B5EF4-FFF2-40B4-BE49-F238E27FC236}">
                <a16:creationId xmlns:a16="http://schemas.microsoft.com/office/drawing/2014/main" id="{98C7C14A-9DBB-4EE7-9F16-ED6D5AEFAC93}"/>
              </a:ext>
            </a:extLst>
          </xdr:cNvPr>
          <xdr:cNvCxnSpPr/>
        </xdr:nvCxnSpPr>
        <xdr:spPr>
          <a:xfrm>
            <a:off x="1943099" y="926353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6" name="Straight Arrow Connector 1385">
            <a:extLst>
              <a:ext uri="{FF2B5EF4-FFF2-40B4-BE49-F238E27FC236}">
                <a16:creationId xmlns:a16="http://schemas.microsoft.com/office/drawing/2014/main" id="{FC766D03-E773-434A-B1BE-1BFA391FA415}"/>
              </a:ext>
            </a:extLst>
          </xdr:cNvPr>
          <xdr:cNvCxnSpPr/>
        </xdr:nvCxnSpPr>
        <xdr:spPr>
          <a:xfrm>
            <a:off x="2105024" y="926353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Straight Arrow Connector 1386">
            <a:extLst>
              <a:ext uri="{FF2B5EF4-FFF2-40B4-BE49-F238E27FC236}">
                <a16:creationId xmlns:a16="http://schemas.microsoft.com/office/drawing/2014/main" id="{E3AF739C-8AC0-47A4-96DC-BA25CFF3C24D}"/>
              </a:ext>
            </a:extLst>
          </xdr:cNvPr>
          <xdr:cNvCxnSpPr/>
        </xdr:nvCxnSpPr>
        <xdr:spPr>
          <a:xfrm>
            <a:off x="2266950" y="926353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Straight Arrow Connector 1387">
            <a:extLst>
              <a:ext uri="{FF2B5EF4-FFF2-40B4-BE49-F238E27FC236}">
                <a16:creationId xmlns:a16="http://schemas.microsoft.com/office/drawing/2014/main" id="{231914C5-B7B4-45BB-B7BB-1D472AF4B8D6}"/>
              </a:ext>
            </a:extLst>
          </xdr:cNvPr>
          <xdr:cNvCxnSpPr/>
        </xdr:nvCxnSpPr>
        <xdr:spPr>
          <a:xfrm>
            <a:off x="2428875" y="926353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9" name="Straight Arrow Connector 1388">
            <a:extLst>
              <a:ext uri="{FF2B5EF4-FFF2-40B4-BE49-F238E27FC236}">
                <a16:creationId xmlns:a16="http://schemas.microsoft.com/office/drawing/2014/main" id="{A78F5B46-2315-4F41-872C-572D3D5D8414}"/>
              </a:ext>
            </a:extLst>
          </xdr:cNvPr>
          <xdr:cNvCxnSpPr/>
        </xdr:nvCxnSpPr>
        <xdr:spPr>
          <a:xfrm>
            <a:off x="2590798" y="926401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0" name="Straight Arrow Connector 1389">
            <a:extLst>
              <a:ext uri="{FF2B5EF4-FFF2-40B4-BE49-F238E27FC236}">
                <a16:creationId xmlns:a16="http://schemas.microsoft.com/office/drawing/2014/main" id="{3B71BE60-468E-434C-AB29-572051C7E548}"/>
              </a:ext>
            </a:extLst>
          </xdr:cNvPr>
          <xdr:cNvCxnSpPr/>
        </xdr:nvCxnSpPr>
        <xdr:spPr>
          <a:xfrm>
            <a:off x="2752723" y="926401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1" name="Straight Arrow Connector 1390">
            <a:extLst>
              <a:ext uri="{FF2B5EF4-FFF2-40B4-BE49-F238E27FC236}">
                <a16:creationId xmlns:a16="http://schemas.microsoft.com/office/drawing/2014/main" id="{4106DE72-013A-4C10-8BF4-B570B786FCDC}"/>
              </a:ext>
            </a:extLst>
          </xdr:cNvPr>
          <xdr:cNvCxnSpPr/>
        </xdr:nvCxnSpPr>
        <xdr:spPr>
          <a:xfrm>
            <a:off x="2914649" y="926401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2" name="Straight Arrow Connector 1391">
            <a:extLst>
              <a:ext uri="{FF2B5EF4-FFF2-40B4-BE49-F238E27FC236}">
                <a16:creationId xmlns:a16="http://schemas.microsoft.com/office/drawing/2014/main" id="{052E8DCD-7493-4BA8-AEF7-C9D6EBB728DA}"/>
              </a:ext>
            </a:extLst>
          </xdr:cNvPr>
          <xdr:cNvCxnSpPr/>
        </xdr:nvCxnSpPr>
        <xdr:spPr>
          <a:xfrm>
            <a:off x="3076574" y="926401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3" name="Straight Arrow Connector 1392">
            <a:extLst>
              <a:ext uri="{FF2B5EF4-FFF2-40B4-BE49-F238E27FC236}">
                <a16:creationId xmlns:a16="http://schemas.microsoft.com/office/drawing/2014/main" id="{5FA8B9EE-07BC-4562-9B44-D43029D7141B}"/>
              </a:ext>
            </a:extLst>
          </xdr:cNvPr>
          <xdr:cNvCxnSpPr/>
        </xdr:nvCxnSpPr>
        <xdr:spPr>
          <a:xfrm>
            <a:off x="3238499" y="926401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4" name="Straight Connector 1393">
            <a:extLst>
              <a:ext uri="{FF2B5EF4-FFF2-40B4-BE49-F238E27FC236}">
                <a16:creationId xmlns:a16="http://schemas.microsoft.com/office/drawing/2014/main" id="{780ACFD0-0FEB-4674-BAA7-FA43E242FC8B}"/>
              </a:ext>
            </a:extLst>
          </xdr:cNvPr>
          <xdr:cNvCxnSpPr/>
        </xdr:nvCxnSpPr>
        <xdr:spPr>
          <a:xfrm>
            <a:off x="1295399" y="92873523"/>
            <a:ext cx="3562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7" name="Straight Arrow Connector 1396">
            <a:extLst>
              <a:ext uri="{FF2B5EF4-FFF2-40B4-BE49-F238E27FC236}">
                <a16:creationId xmlns:a16="http://schemas.microsoft.com/office/drawing/2014/main" id="{90B5CC87-ECCE-406F-9BFE-AF9B49E5FEE2}"/>
              </a:ext>
            </a:extLst>
          </xdr:cNvPr>
          <xdr:cNvCxnSpPr/>
        </xdr:nvCxnSpPr>
        <xdr:spPr>
          <a:xfrm>
            <a:off x="3400425" y="9263538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8" name="Straight Arrow Connector 1397">
            <a:extLst>
              <a:ext uri="{FF2B5EF4-FFF2-40B4-BE49-F238E27FC236}">
                <a16:creationId xmlns:a16="http://schemas.microsoft.com/office/drawing/2014/main" id="{11114E77-88C3-4A9C-B950-26E2FBCF32B4}"/>
              </a:ext>
            </a:extLst>
          </xdr:cNvPr>
          <xdr:cNvCxnSpPr/>
        </xdr:nvCxnSpPr>
        <xdr:spPr>
          <a:xfrm>
            <a:off x="3562350" y="9263538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9" name="Straight Arrow Connector 1398">
            <a:extLst>
              <a:ext uri="{FF2B5EF4-FFF2-40B4-BE49-F238E27FC236}">
                <a16:creationId xmlns:a16="http://schemas.microsoft.com/office/drawing/2014/main" id="{2F8C1A60-3CA6-4333-9AF7-E51EB187E4C0}"/>
              </a:ext>
            </a:extLst>
          </xdr:cNvPr>
          <xdr:cNvCxnSpPr/>
        </xdr:nvCxnSpPr>
        <xdr:spPr>
          <a:xfrm>
            <a:off x="3724276" y="9263538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0" name="Straight Arrow Connector 1399">
            <a:extLst>
              <a:ext uri="{FF2B5EF4-FFF2-40B4-BE49-F238E27FC236}">
                <a16:creationId xmlns:a16="http://schemas.microsoft.com/office/drawing/2014/main" id="{65BF7317-F9AC-447D-8F2F-BB8C0F3CAF2F}"/>
              </a:ext>
            </a:extLst>
          </xdr:cNvPr>
          <xdr:cNvCxnSpPr/>
        </xdr:nvCxnSpPr>
        <xdr:spPr>
          <a:xfrm>
            <a:off x="3886201" y="9263538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1" name="Straight Arrow Connector 1400">
            <a:extLst>
              <a:ext uri="{FF2B5EF4-FFF2-40B4-BE49-F238E27FC236}">
                <a16:creationId xmlns:a16="http://schemas.microsoft.com/office/drawing/2014/main" id="{EA7FEC71-BB5D-402C-83EE-DC90660BC41D}"/>
              </a:ext>
            </a:extLst>
          </xdr:cNvPr>
          <xdr:cNvCxnSpPr/>
        </xdr:nvCxnSpPr>
        <xdr:spPr>
          <a:xfrm>
            <a:off x="4048125" y="9263062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2" name="Straight Arrow Connector 1401">
            <a:extLst>
              <a:ext uri="{FF2B5EF4-FFF2-40B4-BE49-F238E27FC236}">
                <a16:creationId xmlns:a16="http://schemas.microsoft.com/office/drawing/2014/main" id="{C44D9E0A-1C97-47E9-8CBD-ACE9C2D5A23F}"/>
              </a:ext>
            </a:extLst>
          </xdr:cNvPr>
          <xdr:cNvCxnSpPr/>
        </xdr:nvCxnSpPr>
        <xdr:spPr>
          <a:xfrm>
            <a:off x="4210050" y="9263062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3" name="Straight Arrow Connector 1402">
            <a:extLst>
              <a:ext uri="{FF2B5EF4-FFF2-40B4-BE49-F238E27FC236}">
                <a16:creationId xmlns:a16="http://schemas.microsoft.com/office/drawing/2014/main" id="{8D88FA9D-C777-4C74-B5BF-5D353EC6A2F1}"/>
              </a:ext>
            </a:extLst>
          </xdr:cNvPr>
          <xdr:cNvCxnSpPr/>
        </xdr:nvCxnSpPr>
        <xdr:spPr>
          <a:xfrm>
            <a:off x="4371976" y="9263062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4" name="Straight Arrow Connector 1403">
            <a:extLst>
              <a:ext uri="{FF2B5EF4-FFF2-40B4-BE49-F238E27FC236}">
                <a16:creationId xmlns:a16="http://schemas.microsoft.com/office/drawing/2014/main" id="{992C749D-78AA-4899-8596-59596CD2638E}"/>
              </a:ext>
            </a:extLst>
          </xdr:cNvPr>
          <xdr:cNvCxnSpPr/>
        </xdr:nvCxnSpPr>
        <xdr:spPr>
          <a:xfrm>
            <a:off x="4533901" y="9263062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5" name="Straight Arrow Connector 1404">
            <a:extLst>
              <a:ext uri="{FF2B5EF4-FFF2-40B4-BE49-F238E27FC236}">
                <a16:creationId xmlns:a16="http://schemas.microsoft.com/office/drawing/2014/main" id="{DCB932A6-6546-4F87-A087-BBE1EDE657B4}"/>
              </a:ext>
            </a:extLst>
          </xdr:cNvPr>
          <xdr:cNvCxnSpPr/>
        </xdr:nvCxnSpPr>
        <xdr:spPr>
          <a:xfrm>
            <a:off x="4695824" y="926353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6" name="Straight Arrow Connector 1405">
            <a:extLst>
              <a:ext uri="{FF2B5EF4-FFF2-40B4-BE49-F238E27FC236}">
                <a16:creationId xmlns:a16="http://schemas.microsoft.com/office/drawing/2014/main" id="{190E4C38-82F5-4801-9C63-CB7BDC4546FE}"/>
              </a:ext>
            </a:extLst>
          </xdr:cNvPr>
          <xdr:cNvCxnSpPr/>
        </xdr:nvCxnSpPr>
        <xdr:spPr>
          <a:xfrm>
            <a:off x="4857749" y="9263538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1" name="Straight Connector 1410">
            <a:extLst>
              <a:ext uri="{FF2B5EF4-FFF2-40B4-BE49-F238E27FC236}">
                <a16:creationId xmlns:a16="http://schemas.microsoft.com/office/drawing/2014/main" id="{58B358D3-D0C6-42C6-8157-4CFD3565428F}"/>
              </a:ext>
            </a:extLst>
          </xdr:cNvPr>
          <xdr:cNvCxnSpPr/>
        </xdr:nvCxnSpPr>
        <xdr:spPr>
          <a:xfrm>
            <a:off x="1295400" y="959691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2" name="Straight Connector 1411">
            <a:extLst>
              <a:ext uri="{FF2B5EF4-FFF2-40B4-BE49-F238E27FC236}">
                <a16:creationId xmlns:a16="http://schemas.microsoft.com/office/drawing/2014/main" id="{F705ED42-06BB-4DF4-82A3-D2943664F36D}"/>
              </a:ext>
            </a:extLst>
          </xdr:cNvPr>
          <xdr:cNvCxnSpPr/>
        </xdr:nvCxnSpPr>
        <xdr:spPr>
          <a:xfrm>
            <a:off x="1214439" y="9620250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3" name="Straight Connector 1412">
            <a:extLst>
              <a:ext uri="{FF2B5EF4-FFF2-40B4-BE49-F238E27FC236}">
                <a16:creationId xmlns:a16="http://schemas.microsoft.com/office/drawing/2014/main" id="{288CF23B-995D-4C54-B185-5BB7B2B91E09}"/>
              </a:ext>
            </a:extLst>
          </xdr:cNvPr>
          <xdr:cNvCxnSpPr/>
        </xdr:nvCxnSpPr>
        <xdr:spPr>
          <a:xfrm flipH="1">
            <a:off x="1257302" y="961644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4" name="Straight Connector 1413">
            <a:extLst>
              <a:ext uri="{FF2B5EF4-FFF2-40B4-BE49-F238E27FC236}">
                <a16:creationId xmlns:a16="http://schemas.microsoft.com/office/drawing/2014/main" id="{C5BCD160-2BA3-4431-809A-25AA528203FF}"/>
              </a:ext>
            </a:extLst>
          </xdr:cNvPr>
          <xdr:cNvCxnSpPr/>
        </xdr:nvCxnSpPr>
        <xdr:spPr>
          <a:xfrm>
            <a:off x="4857766" y="959834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5" name="Straight Connector 1414">
            <a:extLst>
              <a:ext uri="{FF2B5EF4-FFF2-40B4-BE49-F238E27FC236}">
                <a16:creationId xmlns:a16="http://schemas.microsoft.com/office/drawing/2014/main" id="{4BEA17FD-FD40-42FE-85E7-CC92014993B3}"/>
              </a:ext>
            </a:extLst>
          </xdr:cNvPr>
          <xdr:cNvCxnSpPr/>
        </xdr:nvCxnSpPr>
        <xdr:spPr>
          <a:xfrm flipH="1">
            <a:off x="4819668" y="961644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636</xdr:row>
      <xdr:rowOff>76196</xdr:rowOff>
    </xdr:from>
    <xdr:to>
      <xdr:col>63</xdr:col>
      <xdr:colOff>0</xdr:colOff>
      <xdr:row>655</xdr:row>
      <xdr:rowOff>0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C2EDF703-0C55-D45D-989A-777B14C25B99}"/>
            </a:ext>
          </a:extLst>
        </xdr:cNvPr>
        <xdr:cNvGrpSpPr/>
      </xdr:nvGrpSpPr>
      <xdr:grpSpPr>
        <a:xfrm>
          <a:off x="5667375" y="92706821"/>
          <a:ext cx="4533900" cy="2638429"/>
          <a:chOff x="5829300" y="92706821"/>
          <a:chExt cx="4533900" cy="2638429"/>
        </a:xfrm>
      </xdr:grpSpPr>
      <xdr:sp macro="" textlink="">
        <xdr:nvSpPr>
          <xdr:cNvPr id="1417" name="Freeform: Shape 1416">
            <a:extLst>
              <a:ext uri="{FF2B5EF4-FFF2-40B4-BE49-F238E27FC236}">
                <a16:creationId xmlns:a16="http://schemas.microsoft.com/office/drawing/2014/main" id="{3CB5D1BC-3D59-47D4-BA48-4EFD8020972E}"/>
              </a:ext>
            </a:extLst>
          </xdr:cNvPr>
          <xdr:cNvSpPr/>
        </xdr:nvSpPr>
        <xdr:spPr>
          <a:xfrm>
            <a:off x="6319837" y="9291637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18" name="Freeform: Shape 1417">
            <a:extLst>
              <a:ext uri="{FF2B5EF4-FFF2-40B4-BE49-F238E27FC236}">
                <a16:creationId xmlns:a16="http://schemas.microsoft.com/office/drawing/2014/main" id="{D9510458-F173-7D74-C601-1C2797923F9B}"/>
              </a:ext>
            </a:extLst>
          </xdr:cNvPr>
          <xdr:cNvSpPr/>
        </xdr:nvSpPr>
        <xdr:spPr>
          <a:xfrm>
            <a:off x="5829300" y="93625988"/>
            <a:ext cx="495300" cy="1719262"/>
          </a:xfrm>
          <a:custGeom>
            <a:avLst/>
            <a:gdLst>
              <a:gd name="connsiteX0" fmla="*/ 495300 w 495300"/>
              <a:gd name="connsiteY0" fmla="*/ 0 h 1719262"/>
              <a:gd name="connsiteX1" fmla="*/ 0 w 495300"/>
              <a:gd name="connsiteY1" fmla="*/ 0 h 1719262"/>
              <a:gd name="connsiteX2" fmla="*/ 495300 w 495300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9262">
                <a:moveTo>
                  <a:pt x="495300" y="0"/>
                </a:moveTo>
                <a:lnTo>
                  <a:pt x="0" y="0"/>
                </a:lnTo>
                <a:lnTo>
                  <a:pt x="495300" y="17192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20" name="Straight Connector 1419">
            <a:extLst>
              <a:ext uri="{FF2B5EF4-FFF2-40B4-BE49-F238E27FC236}">
                <a16:creationId xmlns:a16="http://schemas.microsoft.com/office/drawing/2014/main" id="{AB3DB70A-9E7E-1E62-73D3-DB991A209C90}"/>
              </a:ext>
            </a:extLst>
          </xdr:cNvPr>
          <xdr:cNvCxnSpPr/>
        </xdr:nvCxnSpPr>
        <xdr:spPr>
          <a:xfrm flipH="1" flipV="1">
            <a:off x="6161434" y="93205516"/>
            <a:ext cx="166034" cy="41094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1" name="Straight Connector 1420">
            <a:extLst>
              <a:ext uri="{FF2B5EF4-FFF2-40B4-BE49-F238E27FC236}">
                <a16:creationId xmlns:a16="http://schemas.microsoft.com/office/drawing/2014/main" id="{AAC27D2A-ED66-4296-A223-BCC86E378C78}"/>
              </a:ext>
            </a:extLst>
          </xdr:cNvPr>
          <xdr:cNvCxnSpPr/>
        </xdr:nvCxnSpPr>
        <xdr:spPr>
          <a:xfrm flipH="1" flipV="1">
            <a:off x="8106432" y="92916375"/>
            <a:ext cx="116516" cy="28838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2" name="Straight Connector 1421">
            <a:extLst>
              <a:ext uri="{FF2B5EF4-FFF2-40B4-BE49-F238E27FC236}">
                <a16:creationId xmlns:a16="http://schemas.microsoft.com/office/drawing/2014/main" id="{F7BA6CA9-0F86-4B07-82EB-FB76AE5CC0E4}"/>
              </a:ext>
            </a:extLst>
          </xdr:cNvPr>
          <xdr:cNvCxnSpPr/>
        </xdr:nvCxnSpPr>
        <xdr:spPr>
          <a:xfrm flipH="1" flipV="1">
            <a:off x="7583583" y="93116679"/>
            <a:ext cx="223092" cy="55217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24" name="Freeform: Shape 1423">
            <a:extLst>
              <a:ext uri="{FF2B5EF4-FFF2-40B4-BE49-F238E27FC236}">
                <a16:creationId xmlns:a16="http://schemas.microsoft.com/office/drawing/2014/main" id="{471BD5E7-2F93-686E-BFFA-78831253505F}"/>
              </a:ext>
            </a:extLst>
          </xdr:cNvPr>
          <xdr:cNvSpPr/>
        </xdr:nvSpPr>
        <xdr:spPr>
          <a:xfrm>
            <a:off x="6153150" y="93197363"/>
            <a:ext cx="2066925" cy="500063"/>
          </a:xfrm>
          <a:custGeom>
            <a:avLst/>
            <a:gdLst>
              <a:gd name="connsiteX0" fmla="*/ 0 w 2066925"/>
              <a:gd name="connsiteY0" fmla="*/ 4762 h 500063"/>
              <a:gd name="connsiteX1" fmla="*/ 1476375 w 2066925"/>
              <a:gd name="connsiteY1" fmla="*/ 500062 h 500063"/>
              <a:gd name="connsiteX2" fmla="*/ 2066925 w 2066925"/>
              <a:gd name="connsiteY2" fmla="*/ 0 h 5000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66925" h="500063">
                <a:moveTo>
                  <a:pt x="0" y="4762"/>
                </a:moveTo>
                <a:cubicBezTo>
                  <a:pt x="565944" y="252809"/>
                  <a:pt x="1131888" y="500856"/>
                  <a:pt x="1476375" y="500062"/>
                </a:cubicBezTo>
                <a:cubicBezTo>
                  <a:pt x="1820862" y="499268"/>
                  <a:pt x="1943893" y="249634"/>
                  <a:pt x="2066925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32" name="Straight Connector 1431">
            <a:extLst>
              <a:ext uri="{FF2B5EF4-FFF2-40B4-BE49-F238E27FC236}">
                <a16:creationId xmlns:a16="http://schemas.microsoft.com/office/drawing/2014/main" id="{4E06E0A6-0750-D0D9-B484-EE534DCA6B25}"/>
              </a:ext>
            </a:extLst>
          </xdr:cNvPr>
          <xdr:cNvCxnSpPr/>
        </xdr:nvCxnSpPr>
        <xdr:spPr>
          <a:xfrm flipH="1">
            <a:off x="7986713" y="92907376"/>
            <a:ext cx="122957" cy="30432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3" name="Straight Connector 1432">
            <a:extLst>
              <a:ext uri="{FF2B5EF4-FFF2-40B4-BE49-F238E27FC236}">
                <a16:creationId xmlns:a16="http://schemas.microsoft.com/office/drawing/2014/main" id="{2ADB4466-631F-4A8A-91CB-060871BD100D}"/>
              </a:ext>
            </a:extLst>
          </xdr:cNvPr>
          <xdr:cNvCxnSpPr/>
        </xdr:nvCxnSpPr>
        <xdr:spPr>
          <a:xfrm flipH="1">
            <a:off x="9872663" y="93198792"/>
            <a:ext cx="187963" cy="4652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0" name="Straight Connector 1439">
            <a:extLst>
              <a:ext uri="{FF2B5EF4-FFF2-40B4-BE49-F238E27FC236}">
                <a16:creationId xmlns:a16="http://schemas.microsoft.com/office/drawing/2014/main" id="{D8F800DD-8AAE-4FFB-8099-ACF84479EE6E}"/>
              </a:ext>
            </a:extLst>
          </xdr:cNvPr>
          <xdr:cNvCxnSpPr/>
        </xdr:nvCxnSpPr>
        <xdr:spPr>
          <a:xfrm flipH="1">
            <a:off x="8386937" y="93121162"/>
            <a:ext cx="221280" cy="54768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43" name="Freeform: Shape 1442">
            <a:extLst>
              <a:ext uri="{FF2B5EF4-FFF2-40B4-BE49-F238E27FC236}">
                <a16:creationId xmlns:a16="http://schemas.microsoft.com/office/drawing/2014/main" id="{B4FCF018-E8CB-95A3-220D-E21A1A6DD7DD}"/>
              </a:ext>
            </a:extLst>
          </xdr:cNvPr>
          <xdr:cNvSpPr/>
        </xdr:nvSpPr>
        <xdr:spPr>
          <a:xfrm>
            <a:off x="7996238" y="93197363"/>
            <a:ext cx="2066925" cy="500063"/>
          </a:xfrm>
          <a:custGeom>
            <a:avLst/>
            <a:gdLst>
              <a:gd name="connsiteX0" fmla="*/ 0 w 2066925"/>
              <a:gd name="connsiteY0" fmla="*/ 0 h 500063"/>
              <a:gd name="connsiteX1" fmla="*/ 590550 w 2066925"/>
              <a:gd name="connsiteY1" fmla="*/ 500062 h 500063"/>
              <a:gd name="connsiteX2" fmla="*/ 2066925 w 2066925"/>
              <a:gd name="connsiteY2" fmla="*/ 4762 h 5000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66925" h="500063">
                <a:moveTo>
                  <a:pt x="0" y="0"/>
                </a:moveTo>
                <a:cubicBezTo>
                  <a:pt x="123031" y="249634"/>
                  <a:pt x="246063" y="499268"/>
                  <a:pt x="590550" y="500062"/>
                </a:cubicBezTo>
                <a:cubicBezTo>
                  <a:pt x="935037" y="500856"/>
                  <a:pt x="2010569" y="33337"/>
                  <a:pt x="2066925" y="4762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48" name="Straight Connector 1447">
            <a:extLst>
              <a:ext uri="{FF2B5EF4-FFF2-40B4-BE49-F238E27FC236}">
                <a16:creationId xmlns:a16="http://schemas.microsoft.com/office/drawing/2014/main" id="{D5973000-2679-AA0A-DAD0-BEB04102959D}"/>
              </a:ext>
            </a:extLst>
          </xdr:cNvPr>
          <xdr:cNvCxnSpPr/>
        </xdr:nvCxnSpPr>
        <xdr:spPr>
          <a:xfrm flipV="1">
            <a:off x="6315075" y="92706825"/>
            <a:ext cx="0" cy="819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0" name="Straight Connector 1449">
            <a:extLst>
              <a:ext uri="{FF2B5EF4-FFF2-40B4-BE49-F238E27FC236}">
                <a16:creationId xmlns:a16="http://schemas.microsoft.com/office/drawing/2014/main" id="{8B878767-711A-D41F-4427-02125C2A30A4}"/>
              </a:ext>
            </a:extLst>
          </xdr:cNvPr>
          <xdr:cNvCxnSpPr/>
        </xdr:nvCxnSpPr>
        <xdr:spPr>
          <a:xfrm>
            <a:off x="6248401" y="92773501"/>
            <a:ext cx="14049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Straight Connector 1452">
            <a:extLst>
              <a:ext uri="{FF2B5EF4-FFF2-40B4-BE49-F238E27FC236}">
                <a16:creationId xmlns:a16="http://schemas.microsoft.com/office/drawing/2014/main" id="{E4B932BA-B1F5-0E38-A824-9910CDFC6F7D}"/>
              </a:ext>
            </a:extLst>
          </xdr:cNvPr>
          <xdr:cNvCxnSpPr/>
        </xdr:nvCxnSpPr>
        <xdr:spPr>
          <a:xfrm flipH="1">
            <a:off x="6276974" y="92740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Straight Connector 1453">
            <a:extLst>
              <a:ext uri="{FF2B5EF4-FFF2-40B4-BE49-F238E27FC236}">
                <a16:creationId xmlns:a16="http://schemas.microsoft.com/office/drawing/2014/main" id="{ABB88FD3-35BF-4B8F-BC19-310B9832C0FF}"/>
              </a:ext>
            </a:extLst>
          </xdr:cNvPr>
          <xdr:cNvCxnSpPr/>
        </xdr:nvCxnSpPr>
        <xdr:spPr>
          <a:xfrm flipV="1">
            <a:off x="7586662" y="92706825"/>
            <a:ext cx="0" cy="385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5" name="Straight Connector 1454">
            <a:extLst>
              <a:ext uri="{FF2B5EF4-FFF2-40B4-BE49-F238E27FC236}">
                <a16:creationId xmlns:a16="http://schemas.microsoft.com/office/drawing/2014/main" id="{87DDC982-270B-4FB5-839A-268C153CBD84}"/>
              </a:ext>
            </a:extLst>
          </xdr:cNvPr>
          <xdr:cNvCxnSpPr/>
        </xdr:nvCxnSpPr>
        <xdr:spPr>
          <a:xfrm flipH="1">
            <a:off x="7548561" y="92740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Connector 1458">
            <a:extLst>
              <a:ext uri="{FF2B5EF4-FFF2-40B4-BE49-F238E27FC236}">
                <a16:creationId xmlns:a16="http://schemas.microsoft.com/office/drawing/2014/main" id="{49157694-29F6-4E1D-8831-021025D675CA}"/>
              </a:ext>
            </a:extLst>
          </xdr:cNvPr>
          <xdr:cNvCxnSpPr/>
        </xdr:nvCxnSpPr>
        <xdr:spPr>
          <a:xfrm flipV="1">
            <a:off x="8615362" y="92706825"/>
            <a:ext cx="0" cy="385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Straight Connector 1459">
            <a:extLst>
              <a:ext uri="{FF2B5EF4-FFF2-40B4-BE49-F238E27FC236}">
                <a16:creationId xmlns:a16="http://schemas.microsoft.com/office/drawing/2014/main" id="{82DE348A-79A2-43B8-A48A-D81F0AAA1BB3}"/>
              </a:ext>
            </a:extLst>
          </xdr:cNvPr>
          <xdr:cNvCxnSpPr/>
        </xdr:nvCxnSpPr>
        <xdr:spPr>
          <a:xfrm flipH="1">
            <a:off x="8577261" y="92740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396327E4-184C-4F4B-8E8C-393D765EF8D4}"/>
              </a:ext>
            </a:extLst>
          </xdr:cNvPr>
          <xdr:cNvCxnSpPr/>
        </xdr:nvCxnSpPr>
        <xdr:spPr>
          <a:xfrm flipV="1">
            <a:off x="9877426" y="92706821"/>
            <a:ext cx="0" cy="819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2" name="Straight Connector 1461">
            <a:extLst>
              <a:ext uri="{FF2B5EF4-FFF2-40B4-BE49-F238E27FC236}">
                <a16:creationId xmlns:a16="http://schemas.microsoft.com/office/drawing/2014/main" id="{A3394795-EBE1-4F2B-88A5-7A7E6CD51796}"/>
              </a:ext>
            </a:extLst>
          </xdr:cNvPr>
          <xdr:cNvCxnSpPr/>
        </xdr:nvCxnSpPr>
        <xdr:spPr>
          <a:xfrm>
            <a:off x="8548689" y="92773497"/>
            <a:ext cx="14049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Connector 1462">
            <a:extLst>
              <a:ext uri="{FF2B5EF4-FFF2-40B4-BE49-F238E27FC236}">
                <a16:creationId xmlns:a16="http://schemas.microsoft.com/office/drawing/2014/main" id="{419850AF-4C86-4896-A9FD-13A89B57AD65}"/>
              </a:ext>
            </a:extLst>
          </xdr:cNvPr>
          <xdr:cNvCxnSpPr/>
        </xdr:nvCxnSpPr>
        <xdr:spPr>
          <a:xfrm flipH="1">
            <a:off x="9839325" y="92740159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5" name="Freeform: Shape 1464">
            <a:extLst>
              <a:ext uri="{FF2B5EF4-FFF2-40B4-BE49-F238E27FC236}">
                <a16:creationId xmlns:a16="http://schemas.microsoft.com/office/drawing/2014/main" id="{2DEFE109-56C0-BA1B-E7EC-DE97F45E6C65}"/>
              </a:ext>
            </a:extLst>
          </xdr:cNvPr>
          <xdr:cNvSpPr/>
        </xdr:nvSpPr>
        <xdr:spPr>
          <a:xfrm>
            <a:off x="9877425" y="93635513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664</xdr:row>
      <xdr:rowOff>11</xdr:rowOff>
    </xdr:from>
    <xdr:to>
      <xdr:col>32</xdr:col>
      <xdr:colOff>4762</xdr:colOff>
      <xdr:row>689</xdr:row>
      <xdr:rowOff>66675</xdr:rowOff>
    </xdr:to>
    <xdr:grpSp>
      <xdr:nvGrpSpPr>
        <xdr:cNvPr id="359" name="Group 358">
          <a:extLst>
            <a:ext uri="{FF2B5EF4-FFF2-40B4-BE49-F238E27FC236}">
              <a16:creationId xmlns:a16="http://schemas.microsoft.com/office/drawing/2014/main" id="{E7150A54-36F2-09B5-815F-DD701E45EF71}"/>
            </a:ext>
          </a:extLst>
        </xdr:cNvPr>
        <xdr:cNvGrpSpPr/>
      </xdr:nvGrpSpPr>
      <xdr:grpSpPr>
        <a:xfrm>
          <a:off x="404814" y="96631136"/>
          <a:ext cx="4781548" cy="3638539"/>
          <a:chOff x="566739" y="96631136"/>
          <a:chExt cx="4781548" cy="3638539"/>
        </a:xfrm>
      </xdr:grpSpPr>
      <xdr:sp macro="" textlink="">
        <xdr:nvSpPr>
          <xdr:cNvPr id="1466" name="Freeform: Shape 1465">
            <a:extLst>
              <a:ext uri="{FF2B5EF4-FFF2-40B4-BE49-F238E27FC236}">
                <a16:creationId xmlns:a16="http://schemas.microsoft.com/office/drawing/2014/main" id="{8F98A3BA-9946-4793-8154-2916EBA5D459}"/>
              </a:ext>
            </a:extLst>
          </xdr:cNvPr>
          <xdr:cNvSpPr/>
        </xdr:nvSpPr>
        <xdr:spPr>
          <a:xfrm>
            <a:off x="1300162" y="9692163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A1D03A1C-46C1-4667-B9D1-1908941120D3}"/>
              </a:ext>
            </a:extLst>
          </xdr:cNvPr>
          <xdr:cNvSpPr/>
        </xdr:nvSpPr>
        <xdr:spPr>
          <a:xfrm>
            <a:off x="1138238" y="993505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68" name="Oval 1467">
            <a:extLst>
              <a:ext uri="{FF2B5EF4-FFF2-40B4-BE49-F238E27FC236}">
                <a16:creationId xmlns:a16="http://schemas.microsoft.com/office/drawing/2014/main" id="{B591BAE5-2C80-4936-9E4E-AB7BAEB71C0D}"/>
              </a:ext>
            </a:extLst>
          </xdr:cNvPr>
          <xdr:cNvSpPr/>
        </xdr:nvSpPr>
        <xdr:spPr>
          <a:xfrm>
            <a:off x="1243014" y="992362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69" name="Oval 1468">
            <a:extLst>
              <a:ext uri="{FF2B5EF4-FFF2-40B4-BE49-F238E27FC236}">
                <a16:creationId xmlns:a16="http://schemas.microsoft.com/office/drawing/2014/main" id="{907839AE-5099-4F76-A2A5-8960237B3EB4}"/>
              </a:ext>
            </a:extLst>
          </xdr:cNvPr>
          <xdr:cNvSpPr/>
        </xdr:nvSpPr>
        <xdr:spPr>
          <a:xfrm>
            <a:off x="4805364" y="992409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70" name="Straight Connector 1469">
            <a:extLst>
              <a:ext uri="{FF2B5EF4-FFF2-40B4-BE49-F238E27FC236}">
                <a16:creationId xmlns:a16="http://schemas.microsoft.com/office/drawing/2014/main" id="{1A1A7F28-8BA0-476E-8A44-2FD02A628C36}"/>
              </a:ext>
            </a:extLst>
          </xdr:cNvPr>
          <xdr:cNvCxnSpPr/>
        </xdr:nvCxnSpPr>
        <xdr:spPr>
          <a:xfrm>
            <a:off x="1133475" y="993457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C82B1936-71BA-4194-B75A-ACB507AD8ED2}"/>
              </a:ext>
            </a:extLst>
          </xdr:cNvPr>
          <xdr:cNvSpPr/>
        </xdr:nvSpPr>
        <xdr:spPr>
          <a:xfrm>
            <a:off x="4700588" y="993552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72" name="Straight Connector 1471">
            <a:extLst>
              <a:ext uri="{FF2B5EF4-FFF2-40B4-BE49-F238E27FC236}">
                <a16:creationId xmlns:a16="http://schemas.microsoft.com/office/drawing/2014/main" id="{956E23C1-FCF1-4972-9DB9-A4652CAF105C}"/>
              </a:ext>
            </a:extLst>
          </xdr:cNvPr>
          <xdr:cNvCxnSpPr/>
        </xdr:nvCxnSpPr>
        <xdr:spPr>
          <a:xfrm>
            <a:off x="4695825" y="993505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3" name="Straight Connector 1472">
            <a:extLst>
              <a:ext uri="{FF2B5EF4-FFF2-40B4-BE49-F238E27FC236}">
                <a16:creationId xmlns:a16="http://schemas.microsoft.com/office/drawing/2014/main" id="{9986D419-487B-4F51-9033-C7DBF68DD5C8}"/>
              </a:ext>
            </a:extLst>
          </xdr:cNvPr>
          <xdr:cNvCxnSpPr/>
        </xdr:nvCxnSpPr>
        <xdr:spPr>
          <a:xfrm>
            <a:off x="566739" y="9934575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4" name="Straight Connector 1473">
            <a:extLst>
              <a:ext uri="{FF2B5EF4-FFF2-40B4-BE49-F238E27FC236}">
                <a16:creationId xmlns:a16="http://schemas.microsoft.com/office/drawing/2014/main" id="{2D32621C-9BC4-4B1A-8A09-5EAC1C75F7DF}"/>
              </a:ext>
            </a:extLst>
          </xdr:cNvPr>
          <xdr:cNvCxnSpPr/>
        </xdr:nvCxnSpPr>
        <xdr:spPr>
          <a:xfrm flipH="1">
            <a:off x="609601" y="993076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5" name="Straight Arrow Connector 1474">
            <a:extLst>
              <a:ext uri="{FF2B5EF4-FFF2-40B4-BE49-F238E27FC236}">
                <a16:creationId xmlns:a16="http://schemas.microsoft.com/office/drawing/2014/main" id="{A93C6DE9-E82C-4408-A009-5710BB6154E2}"/>
              </a:ext>
            </a:extLst>
          </xdr:cNvPr>
          <xdr:cNvCxnSpPr/>
        </xdr:nvCxnSpPr>
        <xdr:spPr>
          <a:xfrm flipV="1">
            <a:off x="1295400" y="9946956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6" name="Straight Arrow Connector 1475">
            <a:extLst>
              <a:ext uri="{FF2B5EF4-FFF2-40B4-BE49-F238E27FC236}">
                <a16:creationId xmlns:a16="http://schemas.microsoft.com/office/drawing/2014/main" id="{26B6B52C-D3AA-42B1-9753-D7B4B07746C0}"/>
              </a:ext>
            </a:extLst>
          </xdr:cNvPr>
          <xdr:cNvCxnSpPr/>
        </xdr:nvCxnSpPr>
        <xdr:spPr>
          <a:xfrm flipV="1">
            <a:off x="4857750" y="994695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7" name="Straight Arrow Connector 1476">
            <a:extLst>
              <a:ext uri="{FF2B5EF4-FFF2-40B4-BE49-F238E27FC236}">
                <a16:creationId xmlns:a16="http://schemas.microsoft.com/office/drawing/2014/main" id="{3CFF3095-E708-47C3-A60A-15D11D3E2A10}"/>
              </a:ext>
            </a:extLst>
          </xdr:cNvPr>
          <xdr:cNvCxnSpPr/>
        </xdr:nvCxnSpPr>
        <xdr:spPr>
          <a:xfrm>
            <a:off x="823913" y="9934574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8" name="Straight Arrow Connector 1477">
            <a:extLst>
              <a:ext uri="{FF2B5EF4-FFF2-40B4-BE49-F238E27FC236}">
                <a16:creationId xmlns:a16="http://schemas.microsoft.com/office/drawing/2014/main" id="{3346BA79-E5C8-47D7-9068-E8580127D02C}"/>
              </a:ext>
            </a:extLst>
          </xdr:cNvPr>
          <xdr:cNvCxnSpPr/>
        </xdr:nvCxnSpPr>
        <xdr:spPr>
          <a:xfrm flipH="1">
            <a:off x="5038724" y="993457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9" name="Straight Connector 1478">
            <a:extLst>
              <a:ext uri="{FF2B5EF4-FFF2-40B4-BE49-F238E27FC236}">
                <a16:creationId xmlns:a16="http://schemas.microsoft.com/office/drawing/2014/main" id="{2AD6F850-17EF-4B3F-BDBE-7F0EC700BA17}"/>
              </a:ext>
            </a:extLst>
          </xdr:cNvPr>
          <xdr:cNvCxnSpPr/>
        </xdr:nvCxnSpPr>
        <xdr:spPr>
          <a:xfrm flipV="1">
            <a:off x="647700" y="9685020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0" name="Straight Connector 1479">
            <a:extLst>
              <a:ext uri="{FF2B5EF4-FFF2-40B4-BE49-F238E27FC236}">
                <a16:creationId xmlns:a16="http://schemas.microsoft.com/office/drawing/2014/main" id="{ACB025CD-B402-4A35-8BA0-45CC2A170E05}"/>
              </a:ext>
            </a:extLst>
          </xdr:cNvPr>
          <xdr:cNvCxnSpPr/>
        </xdr:nvCxnSpPr>
        <xdr:spPr>
          <a:xfrm>
            <a:off x="581025" y="9691687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1" name="Straight Connector 1480">
            <a:extLst>
              <a:ext uri="{FF2B5EF4-FFF2-40B4-BE49-F238E27FC236}">
                <a16:creationId xmlns:a16="http://schemas.microsoft.com/office/drawing/2014/main" id="{7DAC5490-C137-4302-88B4-A79C8EFEA579}"/>
              </a:ext>
            </a:extLst>
          </xdr:cNvPr>
          <xdr:cNvCxnSpPr/>
        </xdr:nvCxnSpPr>
        <xdr:spPr>
          <a:xfrm flipH="1">
            <a:off x="614363" y="968883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Straight Connector 1481">
            <a:extLst>
              <a:ext uri="{FF2B5EF4-FFF2-40B4-BE49-F238E27FC236}">
                <a16:creationId xmlns:a16="http://schemas.microsoft.com/office/drawing/2014/main" id="{4BBCE615-1C5F-4DEA-910E-8E63CD601171}"/>
              </a:ext>
            </a:extLst>
          </xdr:cNvPr>
          <xdr:cNvCxnSpPr/>
        </xdr:nvCxnSpPr>
        <xdr:spPr>
          <a:xfrm>
            <a:off x="581025" y="97631251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3" name="Straight Connector 1482">
            <a:extLst>
              <a:ext uri="{FF2B5EF4-FFF2-40B4-BE49-F238E27FC236}">
                <a16:creationId xmlns:a16="http://schemas.microsoft.com/office/drawing/2014/main" id="{AD2E383C-649F-4C0A-82EE-F3C7F394149E}"/>
              </a:ext>
            </a:extLst>
          </xdr:cNvPr>
          <xdr:cNvCxnSpPr/>
        </xdr:nvCxnSpPr>
        <xdr:spPr>
          <a:xfrm flipH="1">
            <a:off x="614363" y="976026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4" name="Straight Arrow Connector 1483">
            <a:extLst>
              <a:ext uri="{FF2B5EF4-FFF2-40B4-BE49-F238E27FC236}">
                <a16:creationId xmlns:a16="http://schemas.microsoft.com/office/drawing/2014/main" id="{5461E757-F811-4350-AFBA-88324CEC4B55}"/>
              </a:ext>
            </a:extLst>
          </xdr:cNvPr>
          <xdr:cNvCxnSpPr/>
        </xdr:nvCxnSpPr>
        <xdr:spPr>
          <a:xfrm>
            <a:off x="1295399" y="966406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5" name="Straight Connector 1484">
            <a:extLst>
              <a:ext uri="{FF2B5EF4-FFF2-40B4-BE49-F238E27FC236}">
                <a16:creationId xmlns:a16="http://schemas.microsoft.com/office/drawing/2014/main" id="{60BEA08A-41DB-49FA-9034-2C8A7CEB5F1E}"/>
              </a:ext>
            </a:extLst>
          </xdr:cNvPr>
          <xdr:cNvCxnSpPr/>
        </xdr:nvCxnSpPr>
        <xdr:spPr>
          <a:xfrm>
            <a:off x="1290637" y="96631136"/>
            <a:ext cx="17859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Arrow Connector 1485">
            <a:extLst>
              <a:ext uri="{FF2B5EF4-FFF2-40B4-BE49-F238E27FC236}">
                <a16:creationId xmlns:a16="http://schemas.microsoft.com/office/drawing/2014/main" id="{A01E8EB2-88CF-46A9-93BE-8F9D7192E91D}"/>
              </a:ext>
            </a:extLst>
          </xdr:cNvPr>
          <xdr:cNvCxnSpPr/>
        </xdr:nvCxnSpPr>
        <xdr:spPr>
          <a:xfrm>
            <a:off x="1457324" y="966406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Arrow Connector 1486">
            <a:extLst>
              <a:ext uri="{FF2B5EF4-FFF2-40B4-BE49-F238E27FC236}">
                <a16:creationId xmlns:a16="http://schemas.microsoft.com/office/drawing/2014/main" id="{9E562BDF-CA52-4514-8033-55E74FF7E4FF}"/>
              </a:ext>
            </a:extLst>
          </xdr:cNvPr>
          <xdr:cNvCxnSpPr/>
        </xdr:nvCxnSpPr>
        <xdr:spPr>
          <a:xfrm>
            <a:off x="1619250" y="966406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8" name="Straight Arrow Connector 1487">
            <a:extLst>
              <a:ext uri="{FF2B5EF4-FFF2-40B4-BE49-F238E27FC236}">
                <a16:creationId xmlns:a16="http://schemas.microsoft.com/office/drawing/2014/main" id="{70C9F974-4102-42CC-85BC-140204A34B9B}"/>
              </a:ext>
            </a:extLst>
          </xdr:cNvPr>
          <xdr:cNvCxnSpPr/>
        </xdr:nvCxnSpPr>
        <xdr:spPr>
          <a:xfrm>
            <a:off x="1781175" y="9664066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9" name="Straight Arrow Connector 1488">
            <a:extLst>
              <a:ext uri="{FF2B5EF4-FFF2-40B4-BE49-F238E27FC236}">
                <a16:creationId xmlns:a16="http://schemas.microsoft.com/office/drawing/2014/main" id="{6123BC3D-E3CF-4FAE-8278-1A91FBEE6E93}"/>
              </a:ext>
            </a:extLst>
          </xdr:cNvPr>
          <xdr:cNvCxnSpPr/>
        </xdr:nvCxnSpPr>
        <xdr:spPr>
          <a:xfrm>
            <a:off x="1943099" y="966358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0" name="Straight Arrow Connector 1489">
            <a:extLst>
              <a:ext uri="{FF2B5EF4-FFF2-40B4-BE49-F238E27FC236}">
                <a16:creationId xmlns:a16="http://schemas.microsoft.com/office/drawing/2014/main" id="{EF809643-31AE-4B64-8A5F-A67BE32CC820}"/>
              </a:ext>
            </a:extLst>
          </xdr:cNvPr>
          <xdr:cNvCxnSpPr/>
        </xdr:nvCxnSpPr>
        <xdr:spPr>
          <a:xfrm>
            <a:off x="2105024" y="966358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Straight Arrow Connector 1490">
            <a:extLst>
              <a:ext uri="{FF2B5EF4-FFF2-40B4-BE49-F238E27FC236}">
                <a16:creationId xmlns:a16="http://schemas.microsoft.com/office/drawing/2014/main" id="{8D0DAF98-41CD-4C4B-B04C-14800067A5AA}"/>
              </a:ext>
            </a:extLst>
          </xdr:cNvPr>
          <xdr:cNvCxnSpPr/>
        </xdr:nvCxnSpPr>
        <xdr:spPr>
          <a:xfrm>
            <a:off x="2266950" y="966358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2" name="Straight Arrow Connector 1491">
            <a:extLst>
              <a:ext uri="{FF2B5EF4-FFF2-40B4-BE49-F238E27FC236}">
                <a16:creationId xmlns:a16="http://schemas.microsoft.com/office/drawing/2014/main" id="{6C50F64E-29D6-4135-984D-CEEB948E2454}"/>
              </a:ext>
            </a:extLst>
          </xdr:cNvPr>
          <xdr:cNvCxnSpPr/>
        </xdr:nvCxnSpPr>
        <xdr:spPr>
          <a:xfrm>
            <a:off x="2428875" y="9663589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3" name="Straight Arrow Connector 1492">
            <a:extLst>
              <a:ext uri="{FF2B5EF4-FFF2-40B4-BE49-F238E27FC236}">
                <a16:creationId xmlns:a16="http://schemas.microsoft.com/office/drawing/2014/main" id="{61D7EFE7-74EB-440B-96D9-0792A334B2B8}"/>
              </a:ext>
            </a:extLst>
          </xdr:cNvPr>
          <xdr:cNvCxnSpPr/>
        </xdr:nvCxnSpPr>
        <xdr:spPr>
          <a:xfrm>
            <a:off x="2590798" y="966406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Straight Arrow Connector 1493">
            <a:extLst>
              <a:ext uri="{FF2B5EF4-FFF2-40B4-BE49-F238E27FC236}">
                <a16:creationId xmlns:a16="http://schemas.microsoft.com/office/drawing/2014/main" id="{4F703F43-E3F0-44CA-90AD-4E8BB6EC682E}"/>
              </a:ext>
            </a:extLst>
          </xdr:cNvPr>
          <xdr:cNvCxnSpPr/>
        </xdr:nvCxnSpPr>
        <xdr:spPr>
          <a:xfrm>
            <a:off x="2752723" y="966406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Straight Arrow Connector 1494">
            <a:extLst>
              <a:ext uri="{FF2B5EF4-FFF2-40B4-BE49-F238E27FC236}">
                <a16:creationId xmlns:a16="http://schemas.microsoft.com/office/drawing/2014/main" id="{0B15771C-4E9B-4DED-929E-E4F26C027617}"/>
              </a:ext>
            </a:extLst>
          </xdr:cNvPr>
          <xdr:cNvCxnSpPr/>
        </xdr:nvCxnSpPr>
        <xdr:spPr>
          <a:xfrm>
            <a:off x="2914649" y="966406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6" name="Straight Arrow Connector 1495">
            <a:extLst>
              <a:ext uri="{FF2B5EF4-FFF2-40B4-BE49-F238E27FC236}">
                <a16:creationId xmlns:a16="http://schemas.microsoft.com/office/drawing/2014/main" id="{68C4821D-0545-4C11-8F11-2C3125440DBA}"/>
              </a:ext>
            </a:extLst>
          </xdr:cNvPr>
          <xdr:cNvCxnSpPr/>
        </xdr:nvCxnSpPr>
        <xdr:spPr>
          <a:xfrm>
            <a:off x="3076574" y="9664065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8" name="Straight Connector 1497">
            <a:extLst>
              <a:ext uri="{FF2B5EF4-FFF2-40B4-BE49-F238E27FC236}">
                <a16:creationId xmlns:a16="http://schemas.microsoft.com/office/drawing/2014/main" id="{F9D2B135-2B58-4C77-B530-70AC08437535}"/>
              </a:ext>
            </a:extLst>
          </xdr:cNvPr>
          <xdr:cNvCxnSpPr/>
        </xdr:nvCxnSpPr>
        <xdr:spPr>
          <a:xfrm>
            <a:off x="1295399" y="96874023"/>
            <a:ext cx="17811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9" name="Straight Connector 1508">
            <a:extLst>
              <a:ext uri="{FF2B5EF4-FFF2-40B4-BE49-F238E27FC236}">
                <a16:creationId xmlns:a16="http://schemas.microsoft.com/office/drawing/2014/main" id="{2C244268-2F77-47D5-B846-5A3F86D9359A}"/>
              </a:ext>
            </a:extLst>
          </xdr:cNvPr>
          <xdr:cNvCxnSpPr/>
        </xdr:nvCxnSpPr>
        <xdr:spPr>
          <a:xfrm>
            <a:off x="1295400" y="999696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0" name="Straight Connector 1509">
            <a:extLst>
              <a:ext uri="{FF2B5EF4-FFF2-40B4-BE49-F238E27FC236}">
                <a16:creationId xmlns:a16="http://schemas.microsoft.com/office/drawing/2014/main" id="{113F96DC-F9EB-47A1-9482-B2354B7302A5}"/>
              </a:ext>
            </a:extLst>
          </xdr:cNvPr>
          <xdr:cNvCxnSpPr/>
        </xdr:nvCxnSpPr>
        <xdr:spPr>
          <a:xfrm>
            <a:off x="1214439" y="10020300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1" name="Straight Connector 1510">
            <a:extLst>
              <a:ext uri="{FF2B5EF4-FFF2-40B4-BE49-F238E27FC236}">
                <a16:creationId xmlns:a16="http://schemas.microsoft.com/office/drawing/2014/main" id="{AB5AC667-4FB4-405E-AB89-FF210DE97D99}"/>
              </a:ext>
            </a:extLst>
          </xdr:cNvPr>
          <xdr:cNvCxnSpPr/>
        </xdr:nvCxnSpPr>
        <xdr:spPr>
          <a:xfrm flipH="1">
            <a:off x="1257302" y="1001649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2" name="Straight Connector 1511">
            <a:extLst>
              <a:ext uri="{FF2B5EF4-FFF2-40B4-BE49-F238E27FC236}">
                <a16:creationId xmlns:a16="http://schemas.microsoft.com/office/drawing/2014/main" id="{6EB942B6-F01E-48A5-8FD6-672F6EC95EBE}"/>
              </a:ext>
            </a:extLst>
          </xdr:cNvPr>
          <xdr:cNvCxnSpPr/>
        </xdr:nvCxnSpPr>
        <xdr:spPr>
          <a:xfrm>
            <a:off x="4857766" y="999839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3" name="Straight Connector 1512">
            <a:extLst>
              <a:ext uri="{FF2B5EF4-FFF2-40B4-BE49-F238E27FC236}">
                <a16:creationId xmlns:a16="http://schemas.microsoft.com/office/drawing/2014/main" id="{990FFDF4-43AE-48B3-95E4-3F8EB988C02B}"/>
              </a:ext>
            </a:extLst>
          </xdr:cNvPr>
          <xdr:cNvCxnSpPr/>
        </xdr:nvCxnSpPr>
        <xdr:spPr>
          <a:xfrm flipH="1">
            <a:off x="4819668" y="1001649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80964</xdr:colOff>
      <xdr:row>691</xdr:row>
      <xdr:rowOff>138113</xdr:rowOff>
    </xdr:from>
    <xdr:to>
      <xdr:col>32</xdr:col>
      <xdr:colOff>4762</xdr:colOff>
      <xdr:row>718</xdr:row>
      <xdr:rowOff>66675</xdr:rowOff>
    </xdr:to>
    <xdr:grpSp>
      <xdr:nvGrpSpPr>
        <xdr:cNvPr id="362" name="Group 361">
          <a:extLst>
            <a:ext uri="{FF2B5EF4-FFF2-40B4-BE49-F238E27FC236}">
              <a16:creationId xmlns:a16="http://schemas.microsoft.com/office/drawing/2014/main" id="{03482B27-985B-CC0F-F8D9-464D70A9E6F7}"/>
            </a:ext>
          </a:extLst>
        </xdr:cNvPr>
        <xdr:cNvGrpSpPr/>
      </xdr:nvGrpSpPr>
      <xdr:grpSpPr>
        <a:xfrm>
          <a:off x="404814" y="100626863"/>
          <a:ext cx="4781548" cy="3786187"/>
          <a:chOff x="566739" y="100626863"/>
          <a:chExt cx="4781548" cy="3786187"/>
        </a:xfrm>
      </xdr:grpSpPr>
      <xdr:sp macro="" textlink="">
        <xdr:nvSpPr>
          <xdr:cNvPr id="1538" name="Freeform: Shape 1537">
            <a:extLst>
              <a:ext uri="{FF2B5EF4-FFF2-40B4-BE49-F238E27FC236}">
                <a16:creationId xmlns:a16="http://schemas.microsoft.com/office/drawing/2014/main" id="{5D66DF5A-1820-4B74-BD94-6512D862F547}"/>
              </a:ext>
            </a:extLst>
          </xdr:cNvPr>
          <xdr:cNvSpPr/>
        </xdr:nvSpPr>
        <xdr:spPr>
          <a:xfrm>
            <a:off x="1300162" y="10106501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A123EC30-C208-4267-95A6-68E30792AA9F}"/>
              </a:ext>
            </a:extLst>
          </xdr:cNvPr>
          <xdr:cNvSpPr/>
        </xdr:nvSpPr>
        <xdr:spPr>
          <a:xfrm>
            <a:off x="1138238" y="1034938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40" name="Oval 1539">
            <a:extLst>
              <a:ext uri="{FF2B5EF4-FFF2-40B4-BE49-F238E27FC236}">
                <a16:creationId xmlns:a16="http://schemas.microsoft.com/office/drawing/2014/main" id="{E45D21D9-9FA2-41D1-AEF6-C934863D604B}"/>
              </a:ext>
            </a:extLst>
          </xdr:cNvPr>
          <xdr:cNvSpPr/>
        </xdr:nvSpPr>
        <xdr:spPr>
          <a:xfrm>
            <a:off x="1243014" y="1033795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41" name="Oval 1540">
            <a:extLst>
              <a:ext uri="{FF2B5EF4-FFF2-40B4-BE49-F238E27FC236}">
                <a16:creationId xmlns:a16="http://schemas.microsoft.com/office/drawing/2014/main" id="{4719C3AE-A955-4A39-B4C8-8EA5162FD7B1}"/>
              </a:ext>
            </a:extLst>
          </xdr:cNvPr>
          <xdr:cNvSpPr/>
        </xdr:nvSpPr>
        <xdr:spPr>
          <a:xfrm>
            <a:off x="4805364" y="10338434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42" name="Straight Connector 1541">
            <a:extLst>
              <a:ext uri="{FF2B5EF4-FFF2-40B4-BE49-F238E27FC236}">
                <a16:creationId xmlns:a16="http://schemas.microsoft.com/office/drawing/2014/main" id="{CCB606F8-8B12-4088-BABF-E76773625DF5}"/>
              </a:ext>
            </a:extLst>
          </xdr:cNvPr>
          <xdr:cNvCxnSpPr/>
        </xdr:nvCxnSpPr>
        <xdr:spPr>
          <a:xfrm>
            <a:off x="1133475" y="1034891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5B881E08-1B53-4F1F-B4E1-53D38FD68E58}"/>
              </a:ext>
            </a:extLst>
          </xdr:cNvPr>
          <xdr:cNvSpPr/>
        </xdr:nvSpPr>
        <xdr:spPr>
          <a:xfrm>
            <a:off x="4700588" y="1034986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44" name="Straight Connector 1543">
            <a:extLst>
              <a:ext uri="{FF2B5EF4-FFF2-40B4-BE49-F238E27FC236}">
                <a16:creationId xmlns:a16="http://schemas.microsoft.com/office/drawing/2014/main" id="{6B5FD128-3B01-4298-A02F-15E2FBD37F6B}"/>
              </a:ext>
            </a:extLst>
          </xdr:cNvPr>
          <xdr:cNvCxnSpPr/>
        </xdr:nvCxnSpPr>
        <xdr:spPr>
          <a:xfrm>
            <a:off x="4695825" y="1034938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Connector 1544">
            <a:extLst>
              <a:ext uri="{FF2B5EF4-FFF2-40B4-BE49-F238E27FC236}">
                <a16:creationId xmlns:a16="http://schemas.microsoft.com/office/drawing/2014/main" id="{419F3D4B-A721-4A94-B2F7-362BF2F757FF}"/>
              </a:ext>
            </a:extLst>
          </xdr:cNvPr>
          <xdr:cNvCxnSpPr/>
        </xdr:nvCxnSpPr>
        <xdr:spPr>
          <a:xfrm>
            <a:off x="566739" y="1034891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Straight Connector 1545">
            <a:extLst>
              <a:ext uri="{FF2B5EF4-FFF2-40B4-BE49-F238E27FC236}">
                <a16:creationId xmlns:a16="http://schemas.microsoft.com/office/drawing/2014/main" id="{846550A8-D72F-43DD-818E-3302FA177D25}"/>
              </a:ext>
            </a:extLst>
          </xdr:cNvPr>
          <xdr:cNvCxnSpPr/>
        </xdr:nvCxnSpPr>
        <xdr:spPr>
          <a:xfrm flipH="1">
            <a:off x="609601" y="1034510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Arrow Connector 1546">
            <a:extLst>
              <a:ext uri="{FF2B5EF4-FFF2-40B4-BE49-F238E27FC236}">
                <a16:creationId xmlns:a16="http://schemas.microsoft.com/office/drawing/2014/main" id="{E44B85E4-C870-4477-8B0A-9708BFE2D8C9}"/>
              </a:ext>
            </a:extLst>
          </xdr:cNvPr>
          <xdr:cNvCxnSpPr/>
        </xdr:nvCxnSpPr>
        <xdr:spPr>
          <a:xfrm flipV="1">
            <a:off x="1295400" y="1036129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Arrow Connector 1547">
            <a:extLst>
              <a:ext uri="{FF2B5EF4-FFF2-40B4-BE49-F238E27FC236}">
                <a16:creationId xmlns:a16="http://schemas.microsoft.com/office/drawing/2014/main" id="{375ADC77-F2CC-4AA2-943E-1D67338FDFBF}"/>
              </a:ext>
            </a:extLst>
          </xdr:cNvPr>
          <xdr:cNvCxnSpPr/>
        </xdr:nvCxnSpPr>
        <xdr:spPr>
          <a:xfrm flipV="1">
            <a:off x="4857750" y="1036129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Arrow Connector 1548">
            <a:extLst>
              <a:ext uri="{FF2B5EF4-FFF2-40B4-BE49-F238E27FC236}">
                <a16:creationId xmlns:a16="http://schemas.microsoft.com/office/drawing/2014/main" id="{C60A2BE5-774A-4DD0-A936-383289486CD6}"/>
              </a:ext>
            </a:extLst>
          </xdr:cNvPr>
          <xdr:cNvCxnSpPr/>
        </xdr:nvCxnSpPr>
        <xdr:spPr>
          <a:xfrm>
            <a:off x="823913" y="1034891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Arrow Connector 1549">
            <a:extLst>
              <a:ext uri="{FF2B5EF4-FFF2-40B4-BE49-F238E27FC236}">
                <a16:creationId xmlns:a16="http://schemas.microsoft.com/office/drawing/2014/main" id="{C520AE91-C96B-43D8-963F-67F7F5A743D1}"/>
              </a:ext>
            </a:extLst>
          </xdr:cNvPr>
          <xdr:cNvCxnSpPr/>
        </xdr:nvCxnSpPr>
        <xdr:spPr>
          <a:xfrm flipH="1">
            <a:off x="5038724" y="1034891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Connector 1550">
            <a:extLst>
              <a:ext uri="{FF2B5EF4-FFF2-40B4-BE49-F238E27FC236}">
                <a16:creationId xmlns:a16="http://schemas.microsoft.com/office/drawing/2014/main" id="{4BCA69B5-B898-443C-863D-88611E7052DA}"/>
              </a:ext>
            </a:extLst>
          </xdr:cNvPr>
          <xdr:cNvCxnSpPr/>
        </xdr:nvCxnSpPr>
        <xdr:spPr>
          <a:xfrm flipV="1">
            <a:off x="647700" y="10099357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Connector 1551">
            <a:extLst>
              <a:ext uri="{FF2B5EF4-FFF2-40B4-BE49-F238E27FC236}">
                <a16:creationId xmlns:a16="http://schemas.microsoft.com/office/drawing/2014/main" id="{5EB58D3E-E6B9-4561-978D-7BBD3922D2F3}"/>
              </a:ext>
            </a:extLst>
          </xdr:cNvPr>
          <xdr:cNvCxnSpPr/>
        </xdr:nvCxnSpPr>
        <xdr:spPr>
          <a:xfrm>
            <a:off x="581025" y="101060251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Connector 1552">
            <a:extLst>
              <a:ext uri="{FF2B5EF4-FFF2-40B4-BE49-F238E27FC236}">
                <a16:creationId xmlns:a16="http://schemas.microsoft.com/office/drawing/2014/main" id="{0923D3DC-992F-41B3-957C-3CDAE6E59B6E}"/>
              </a:ext>
            </a:extLst>
          </xdr:cNvPr>
          <xdr:cNvCxnSpPr/>
        </xdr:nvCxnSpPr>
        <xdr:spPr>
          <a:xfrm flipH="1">
            <a:off x="614363" y="1010316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Connector 1553">
            <a:extLst>
              <a:ext uri="{FF2B5EF4-FFF2-40B4-BE49-F238E27FC236}">
                <a16:creationId xmlns:a16="http://schemas.microsoft.com/office/drawing/2014/main" id="{547603D0-FFD8-4920-9701-10E7CE625E37}"/>
              </a:ext>
            </a:extLst>
          </xdr:cNvPr>
          <xdr:cNvCxnSpPr/>
        </xdr:nvCxnSpPr>
        <xdr:spPr>
          <a:xfrm>
            <a:off x="581025" y="101774626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Connector 1554">
            <a:extLst>
              <a:ext uri="{FF2B5EF4-FFF2-40B4-BE49-F238E27FC236}">
                <a16:creationId xmlns:a16="http://schemas.microsoft.com/office/drawing/2014/main" id="{23AFA52B-045E-40AC-A4AC-4C37B772A1E3}"/>
              </a:ext>
            </a:extLst>
          </xdr:cNvPr>
          <xdr:cNvCxnSpPr/>
        </xdr:nvCxnSpPr>
        <xdr:spPr>
          <a:xfrm flipH="1">
            <a:off x="614363" y="1017460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0" name="Straight Connector 1569">
            <a:extLst>
              <a:ext uri="{FF2B5EF4-FFF2-40B4-BE49-F238E27FC236}">
                <a16:creationId xmlns:a16="http://schemas.microsoft.com/office/drawing/2014/main" id="{C32D7171-9941-4D57-BB01-01E9316AA0DB}"/>
              </a:ext>
            </a:extLst>
          </xdr:cNvPr>
          <xdr:cNvCxnSpPr/>
        </xdr:nvCxnSpPr>
        <xdr:spPr>
          <a:xfrm>
            <a:off x="1295400" y="1041130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1" name="Straight Connector 1570">
            <a:extLst>
              <a:ext uri="{FF2B5EF4-FFF2-40B4-BE49-F238E27FC236}">
                <a16:creationId xmlns:a16="http://schemas.microsoft.com/office/drawing/2014/main" id="{C1DB4032-44F6-4AC4-9EB3-418E0086818B}"/>
              </a:ext>
            </a:extLst>
          </xdr:cNvPr>
          <xdr:cNvCxnSpPr/>
        </xdr:nvCxnSpPr>
        <xdr:spPr>
          <a:xfrm>
            <a:off x="1214439" y="10434637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2" name="Straight Connector 1571">
            <a:extLst>
              <a:ext uri="{FF2B5EF4-FFF2-40B4-BE49-F238E27FC236}">
                <a16:creationId xmlns:a16="http://schemas.microsoft.com/office/drawing/2014/main" id="{23474E40-6AAF-49E7-8291-12E6D3BA214F}"/>
              </a:ext>
            </a:extLst>
          </xdr:cNvPr>
          <xdr:cNvCxnSpPr/>
        </xdr:nvCxnSpPr>
        <xdr:spPr>
          <a:xfrm flipH="1">
            <a:off x="1257302" y="1043082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3" name="Straight Connector 1572">
            <a:extLst>
              <a:ext uri="{FF2B5EF4-FFF2-40B4-BE49-F238E27FC236}">
                <a16:creationId xmlns:a16="http://schemas.microsoft.com/office/drawing/2014/main" id="{D25D2549-2070-4282-96E6-4903D4D7D254}"/>
              </a:ext>
            </a:extLst>
          </xdr:cNvPr>
          <xdr:cNvCxnSpPr/>
        </xdr:nvCxnSpPr>
        <xdr:spPr>
          <a:xfrm>
            <a:off x="4857766" y="1041273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4" name="Straight Connector 1573">
            <a:extLst>
              <a:ext uri="{FF2B5EF4-FFF2-40B4-BE49-F238E27FC236}">
                <a16:creationId xmlns:a16="http://schemas.microsoft.com/office/drawing/2014/main" id="{2BFFDF54-4FDC-4B4C-AD80-D3416B389B14}"/>
              </a:ext>
            </a:extLst>
          </xdr:cNvPr>
          <xdr:cNvCxnSpPr/>
        </xdr:nvCxnSpPr>
        <xdr:spPr>
          <a:xfrm flipH="1">
            <a:off x="4819668" y="1043082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3" name="Straight Arrow Connector 1582">
            <a:extLst>
              <a:ext uri="{FF2B5EF4-FFF2-40B4-BE49-F238E27FC236}">
                <a16:creationId xmlns:a16="http://schemas.microsoft.com/office/drawing/2014/main" id="{545D4756-13CD-4A42-9E18-E51F3D22CC6F}"/>
              </a:ext>
            </a:extLst>
          </xdr:cNvPr>
          <xdr:cNvCxnSpPr/>
        </xdr:nvCxnSpPr>
        <xdr:spPr>
          <a:xfrm>
            <a:off x="3081338" y="100626863"/>
            <a:ext cx="0" cy="4286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695</xdr:row>
      <xdr:rowOff>0</xdr:rowOff>
    </xdr:from>
    <xdr:to>
      <xdr:col>63</xdr:col>
      <xdr:colOff>0</xdr:colOff>
      <xdr:row>712</xdr:row>
      <xdr:rowOff>0</xdr:rowOff>
    </xdr:to>
    <xdr:grpSp>
      <xdr:nvGrpSpPr>
        <xdr:cNvPr id="365" name="Group 364">
          <a:extLst>
            <a:ext uri="{FF2B5EF4-FFF2-40B4-BE49-F238E27FC236}">
              <a16:creationId xmlns:a16="http://schemas.microsoft.com/office/drawing/2014/main" id="{C8E48ABC-4C71-C8BA-F75D-5C4EF2E44390}"/>
            </a:ext>
          </a:extLst>
        </xdr:cNvPr>
        <xdr:cNvGrpSpPr/>
      </xdr:nvGrpSpPr>
      <xdr:grpSpPr>
        <a:xfrm>
          <a:off x="5667375" y="101060250"/>
          <a:ext cx="4533900" cy="2428875"/>
          <a:chOff x="5829300" y="101060250"/>
          <a:chExt cx="4533900" cy="2428875"/>
        </a:xfrm>
      </xdr:grpSpPr>
      <xdr:sp macro="" textlink="">
        <xdr:nvSpPr>
          <xdr:cNvPr id="1575" name="Freeform: Shape 1574">
            <a:extLst>
              <a:ext uri="{FF2B5EF4-FFF2-40B4-BE49-F238E27FC236}">
                <a16:creationId xmlns:a16="http://schemas.microsoft.com/office/drawing/2014/main" id="{5E12088E-A07C-42E7-A22B-3E97E1668192}"/>
              </a:ext>
            </a:extLst>
          </xdr:cNvPr>
          <xdr:cNvSpPr/>
        </xdr:nvSpPr>
        <xdr:spPr>
          <a:xfrm>
            <a:off x="6319837" y="10106025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6" name="Freeform: Shape 1575">
            <a:extLst>
              <a:ext uri="{FF2B5EF4-FFF2-40B4-BE49-F238E27FC236}">
                <a16:creationId xmlns:a16="http://schemas.microsoft.com/office/drawing/2014/main" id="{F6B12F55-018A-4B86-9A54-B46C577DDCD4}"/>
              </a:ext>
            </a:extLst>
          </xdr:cNvPr>
          <xdr:cNvSpPr/>
        </xdr:nvSpPr>
        <xdr:spPr>
          <a:xfrm>
            <a:off x="5829300" y="101769863"/>
            <a:ext cx="495300" cy="1719262"/>
          </a:xfrm>
          <a:custGeom>
            <a:avLst/>
            <a:gdLst>
              <a:gd name="connsiteX0" fmla="*/ 495300 w 495300"/>
              <a:gd name="connsiteY0" fmla="*/ 0 h 1719262"/>
              <a:gd name="connsiteX1" fmla="*/ 0 w 495300"/>
              <a:gd name="connsiteY1" fmla="*/ 0 h 1719262"/>
              <a:gd name="connsiteX2" fmla="*/ 495300 w 495300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9262">
                <a:moveTo>
                  <a:pt x="495300" y="0"/>
                </a:moveTo>
                <a:lnTo>
                  <a:pt x="0" y="0"/>
                </a:lnTo>
                <a:lnTo>
                  <a:pt x="495300" y="17192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1" name="Freeform: Shape 1580">
            <a:extLst>
              <a:ext uri="{FF2B5EF4-FFF2-40B4-BE49-F238E27FC236}">
                <a16:creationId xmlns:a16="http://schemas.microsoft.com/office/drawing/2014/main" id="{F62ED555-5016-4A61-B405-89742027450E}"/>
              </a:ext>
            </a:extLst>
          </xdr:cNvPr>
          <xdr:cNvSpPr/>
        </xdr:nvSpPr>
        <xdr:spPr>
          <a:xfrm>
            <a:off x="9877425" y="101779388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2" name="Freeform: Shape 1581">
            <a:extLst>
              <a:ext uri="{FF2B5EF4-FFF2-40B4-BE49-F238E27FC236}">
                <a16:creationId xmlns:a16="http://schemas.microsoft.com/office/drawing/2014/main" id="{748AB267-F740-4295-8F9D-F6842F37543A}"/>
              </a:ext>
            </a:extLst>
          </xdr:cNvPr>
          <xdr:cNvSpPr/>
        </xdr:nvSpPr>
        <xdr:spPr>
          <a:xfrm>
            <a:off x="7972424" y="101074537"/>
            <a:ext cx="2076450" cy="723900"/>
          </a:xfrm>
          <a:custGeom>
            <a:avLst/>
            <a:gdLst>
              <a:gd name="connsiteX0" fmla="*/ 119062 w 2076450"/>
              <a:gd name="connsiteY0" fmla="*/ 0 h 723900"/>
              <a:gd name="connsiteX1" fmla="*/ 0 w 2076450"/>
              <a:gd name="connsiteY1" fmla="*/ 300037 h 723900"/>
              <a:gd name="connsiteX2" fmla="*/ 2076450 w 2076450"/>
              <a:gd name="connsiteY2" fmla="*/ 285750 h 723900"/>
              <a:gd name="connsiteX3" fmla="*/ 1900237 w 2076450"/>
              <a:gd name="connsiteY3" fmla="*/ 7239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76450" h="723900">
                <a:moveTo>
                  <a:pt x="119062" y="0"/>
                </a:moveTo>
                <a:lnTo>
                  <a:pt x="0" y="300037"/>
                </a:lnTo>
                <a:lnTo>
                  <a:pt x="2076450" y="285750"/>
                </a:lnTo>
                <a:lnTo>
                  <a:pt x="1900237" y="7239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6" name="Freeform: Shape 1585">
            <a:extLst>
              <a:ext uri="{FF2B5EF4-FFF2-40B4-BE49-F238E27FC236}">
                <a16:creationId xmlns:a16="http://schemas.microsoft.com/office/drawing/2014/main" id="{3C93FF3F-5510-AD45-F05A-489C0B15D34B}"/>
              </a:ext>
            </a:extLst>
          </xdr:cNvPr>
          <xdr:cNvSpPr/>
        </xdr:nvSpPr>
        <xdr:spPr>
          <a:xfrm>
            <a:off x="6148388" y="101060251"/>
            <a:ext cx="2066925" cy="704850"/>
          </a:xfrm>
          <a:custGeom>
            <a:avLst/>
            <a:gdLst>
              <a:gd name="connsiteX0" fmla="*/ 166688 w 2066925"/>
              <a:gd name="connsiteY0" fmla="*/ 704850 h 704850"/>
              <a:gd name="connsiteX1" fmla="*/ 0 w 2066925"/>
              <a:gd name="connsiteY1" fmla="*/ 290513 h 704850"/>
              <a:gd name="connsiteX2" fmla="*/ 2066925 w 2066925"/>
              <a:gd name="connsiteY2" fmla="*/ 290513 h 704850"/>
              <a:gd name="connsiteX3" fmla="*/ 1952625 w 2066925"/>
              <a:gd name="connsiteY3" fmla="*/ 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66925" h="704850">
                <a:moveTo>
                  <a:pt x="166688" y="704850"/>
                </a:moveTo>
                <a:lnTo>
                  <a:pt x="0" y="290513"/>
                </a:lnTo>
                <a:lnTo>
                  <a:pt x="2066925" y="290513"/>
                </a:lnTo>
                <a:lnTo>
                  <a:pt x="1952625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80964</xdr:colOff>
      <xdr:row>720</xdr:row>
      <xdr:rowOff>138113</xdr:rowOff>
    </xdr:from>
    <xdr:to>
      <xdr:col>32</xdr:col>
      <xdr:colOff>4762</xdr:colOff>
      <xdr:row>749</xdr:row>
      <xdr:rowOff>66675</xdr:rowOff>
    </xdr:to>
    <xdr:grpSp>
      <xdr:nvGrpSpPr>
        <xdr:cNvPr id="366" name="Group 365">
          <a:extLst>
            <a:ext uri="{FF2B5EF4-FFF2-40B4-BE49-F238E27FC236}">
              <a16:creationId xmlns:a16="http://schemas.microsoft.com/office/drawing/2014/main" id="{1865E46B-EB80-1CEF-7458-CBF90263ED24}"/>
            </a:ext>
          </a:extLst>
        </xdr:cNvPr>
        <xdr:cNvGrpSpPr/>
      </xdr:nvGrpSpPr>
      <xdr:grpSpPr>
        <a:xfrm>
          <a:off x="404814" y="104770238"/>
          <a:ext cx="4781548" cy="4071937"/>
          <a:chOff x="566739" y="104770238"/>
          <a:chExt cx="4781548" cy="4071937"/>
        </a:xfrm>
      </xdr:grpSpPr>
      <xdr:sp macro="" textlink="">
        <xdr:nvSpPr>
          <xdr:cNvPr id="1587" name="Freeform: Shape 1586">
            <a:extLst>
              <a:ext uri="{FF2B5EF4-FFF2-40B4-BE49-F238E27FC236}">
                <a16:creationId xmlns:a16="http://schemas.microsoft.com/office/drawing/2014/main" id="{90A90AFE-1341-4CED-AEE6-C0BA3C763853}"/>
              </a:ext>
            </a:extLst>
          </xdr:cNvPr>
          <xdr:cNvSpPr/>
        </xdr:nvSpPr>
        <xdr:spPr>
          <a:xfrm>
            <a:off x="1300162" y="10520838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BDA50CEF-84E0-4B70-934C-13984D689068}"/>
              </a:ext>
            </a:extLst>
          </xdr:cNvPr>
          <xdr:cNvSpPr/>
        </xdr:nvSpPr>
        <xdr:spPr>
          <a:xfrm>
            <a:off x="1138238" y="1076372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9" name="Oval 1588">
            <a:extLst>
              <a:ext uri="{FF2B5EF4-FFF2-40B4-BE49-F238E27FC236}">
                <a16:creationId xmlns:a16="http://schemas.microsoft.com/office/drawing/2014/main" id="{4FA39DF3-E0B3-4269-BDDB-47850DF242F7}"/>
              </a:ext>
            </a:extLst>
          </xdr:cNvPr>
          <xdr:cNvSpPr/>
        </xdr:nvSpPr>
        <xdr:spPr>
          <a:xfrm>
            <a:off x="1243014" y="1075229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90" name="Oval 1589">
            <a:extLst>
              <a:ext uri="{FF2B5EF4-FFF2-40B4-BE49-F238E27FC236}">
                <a16:creationId xmlns:a16="http://schemas.microsoft.com/office/drawing/2014/main" id="{948A865C-1D41-4C29-8DBB-3E45CD62510B}"/>
              </a:ext>
            </a:extLst>
          </xdr:cNvPr>
          <xdr:cNvSpPr/>
        </xdr:nvSpPr>
        <xdr:spPr>
          <a:xfrm>
            <a:off x="4805364" y="1075277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91" name="Straight Connector 1590">
            <a:extLst>
              <a:ext uri="{FF2B5EF4-FFF2-40B4-BE49-F238E27FC236}">
                <a16:creationId xmlns:a16="http://schemas.microsoft.com/office/drawing/2014/main" id="{3706EC41-B20D-4A37-B131-FFAE049266B3}"/>
              </a:ext>
            </a:extLst>
          </xdr:cNvPr>
          <xdr:cNvCxnSpPr/>
        </xdr:nvCxnSpPr>
        <xdr:spPr>
          <a:xfrm>
            <a:off x="1133475" y="1076324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EDAD3C8D-217E-4E14-B6E8-AF8E0F56916B}"/>
              </a:ext>
            </a:extLst>
          </xdr:cNvPr>
          <xdr:cNvSpPr/>
        </xdr:nvSpPr>
        <xdr:spPr>
          <a:xfrm>
            <a:off x="4700588" y="1076420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93" name="Straight Connector 1592">
            <a:extLst>
              <a:ext uri="{FF2B5EF4-FFF2-40B4-BE49-F238E27FC236}">
                <a16:creationId xmlns:a16="http://schemas.microsoft.com/office/drawing/2014/main" id="{10E88B30-2337-4327-BFAF-0DFEE0694A93}"/>
              </a:ext>
            </a:extLst>
          </xdr:cNvPr>
          <xdr:cNvCxnSpPr/>
        </xdr:nvCxnSpPr>
        <xdr:spPr>
          <a:xfrm>
            <a:off x="4695825" y="1076372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Straight Connector 1593">
            <a:extLst>
              <a:ext uri="{FF2B5EF4-FFF2-40B4-BE49-F238E27FC236}">
                <a16:creationId xmlns:a16="http://schemas.microsoft.com/office/drawing/2014/main" id="{017075EB-74A6-4488-BB0E-9226540F5787}"/>
              </a:ext>
            </a:extLst>
          </xdr:cNvPr>
          <xdr:cNvCxnSpPr/>
        </xdr:nvCxnSpPr>
        <xdr:spPr>
          <a:xfrm>
            <a:off x="566739" y="1076325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5" name="Straight Connector 1594">
            <a:extLst>
              <a:ext uri="{FF2B5EF4-FFF2-40B4-BE49-F238E27FC236}">
                <a16:creationId xmlns:a16="http://schemas.microsoft.com/office/drawing/2014/main" id="{211EBB47-8016-4639-85E7-7337DCD610CE}"/>
              </a:ext>
            </a:extLst>
          </xdr:cNvPr>
          <xdr:cNvCxnSpPr/>
        </xdr:nvCxnSpPr>
        <xdr:spPr>
          <a:xfrm flipH="1">
            <a:off x="609601" y="1075944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6" name="Straight Arrow Connector 1595">
            <a:extLst>
              <a:ext uri="{FF2B5EF4-FFF2-40B4-BE49-F238E27FC236}">
                <a16:creationId xmlns:a16="http://schemas.microsoft.com/office/drawing/2014/main" id="{960D21F5-825C-408E-A8A8-23EA357FC3BB}"/>
              </a:ext>
            </a:extLst>
          </xdr:cNvPr>
          <xdr:cNvCxnSpPr/>
        </xdr:nvCxnSpPr>
        <xdr:spPr>
          <a:xfrm flipV="1">
            <a:off x="1295400" y="1077563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7" name="Straight Arrow Connector 1596">
            <a:extLst>
              <a:ext uri="{FF2B5EF4-FFF2-40B4-BE49-F238E27FC236}">
                <a16:creationId xmlns:a16="http://schemas.microsoft.com/office/drawing/2014/main" id="{7B33E4DF-AB20-4433-B67D-1B5BF477FA16}"/>
              </a:ext>
            </a:extLst>
          </xdr:cNvPr>
          <xdr:cNvCxnSpPr/>
        </xdr:nvCxnSpPr>
        <xdr:spPr>
          <a:xfrm flipV="1">
            <a:off x="4857750" y="1077563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8" name="Straight Arrow Connector 1597">
            <a:extLst>
              <a:ext uri="{FF2B5EF4-FFF2-40B4-BE49-F238E27FC236}">
                <a16:creationId xmlns:a16="http://schemas.microsoft.com/office/drawing/2014/main" id="{1AAFAAF9-5DFA-4D33-8F06-E87A5648CE54}"/>
              </a:ext>
            </a:extLst>
          </xdr:cNvPr>
          <xdr:cNvCxnSpPr/>
        </xdr:nvCxnSpPr>
        <xdr:spPr>
          <a:xfrm>
            <a:off x="823913" y="1076324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9" name="Straight Arrow Connector 1598">
            <a:extLst>
              <a:ext uri="{FF2B5EF4-FFF2-40B4-BE49-F238E27FC236}">
                <a16:creationId xmlns:a16="http://schemas.microsoft.com/office/drawing/2014/main" id="{F4021C1F-AB56-4233-BB05-62B5D82A43A5}"/>
              </a:ext>
            </a:extLst>
          </xdr:cNvPr>
          <xdr:cNvCxnSpPr/>
        </xdr:nvCxnSpPr>
        <xdr:spPr>
          <a:xfrm flipH="1">
            <a:off x="5038724" y="1076325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0" name="Straight Connector 1599">
            <a:extLst>
              <a:ext uri="{FF2B5EF4-FFF2-40B4-BE49-F238E27FC236}">
                <a16:creationId xmlns:a16="http://schemas.microsoft.com/office/drawing/2014/main" id="{4BBEB51E-AB22-48AD-AEA2-44EDA6CB5F95}"/>
              </a:ext>
            </a:extLst>
          </xdr:cNvPr>
          <xdr:cNvCxnSpPr/>
        </xdr:nvCxnSpPr>
        <xdr:spPr>
          <a:xfrm flipV="1">
            <a:off x="647700" y="10513695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1" name="Straight Connector 1600">
            <a:extLst>
              <a:ext uri="{FF2B5EF4-FFF2-40B4-BE49-F238E27FC236}">
                <a16:creationId xmlns:a16="http://schemas.microsoft.com/office/drawing/2014/main" id="{31DE2D0E-782A-411E-BA24-B519CE477AC7}"/>
              </a:ext>
            </a:extLst>
          </xdr:cNvPr>
          <xdr:cNvCxnSpPr/>
        </xdr:nvCxnSpPr>
        <xdr:spPr>
          <a:xfrm>
            <a:off x="581025" y="10520362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2" name="Straight Connector 1601">
            <a:extLst>
              <a:ext uri="{FF2B5EF4-FFF2-40B4-BE49-F238E27FC236}">
                <a16:creationId xmlns:a16="http://schemas.microsoft.com/office/drawing/2014/main" id="{91CD9A66-E25F-4921-AB35-42DA0D6A8A97}"/>
              </a:ext>
            </a:extLst>
          </xdr:cNvPr>
          <xdr:cNvCxnSpPr/>
        </xdr:nvCxnSpPr>
        <xdr:spPr>
          <a:xfrm flipH="1">
            <a:off x="614363" y="1051750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3" name="Straight Connector 1602">
            <a:extLst>
              <a:ext uri="{FF2B5EF4-FFF2-40B4-BE49-F238E27FC236}">
                <a16:creationId xmlns:a16="http://schemas.microsoft.com/office/drawing/2014/main" id="{3784D295-A4F3-46B3-87F9-3F0F275B1516}"/>
              </a:ext>
            </a:extLst>
          </xdr:cNvPr>
          <xdr:cNvCxnSpPr/>
        </xdr:nvCxnSpPr>
        <xdr:spPr>
          <a:xfrm>
            <a:off x="581025" y="105918001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4" name="Straight Connector 1603">
            <a:extLst>
              <a:ext uri="{FF2B5EF4-FFF2-40B4-BE49-F238E27FC236}">
                <a16:creationId xmlns:a16="http://schemas.microsoft.com/office/drawing/2014/main" id="{A8D58AA9-AD1F-46F0-BB4A-EC93C5B92346}"/>
              </a:ext>
            </a:extLst>
          </xdr:cNvPr>
          <xdr:cNvCxnSpPr/>
        </xdr:nvCxnSpPr>
        <xdr:spPr>
          <a:xfrm flipH="1">
            <a:off x="614363" y="1058894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5" name="Straight Connector 1604">
            <a:extLst>
              <a:ext uri="{FF2B5EF4-FFF2-40B4-BE49-F238E27FC236}">
                <a16:creationId xmlns:a16="http://schemas.microsoft.com/office/drawing/2014/main" id="{2A4F65C7-CF81-4A2E-A5C3-7E0D84F6EE8E}"/>
              </a:ext>
            </a:extLst>
          </xdr:cNvPr>
          <xdr:cNvCxnSpPr/>
        </xdr:nvCxnSpPr>
        <xdr:spPr>
          <a:xfrm>
            <a:off x="1295400" y="108256388"/>
            <a:ext cx="0" cy="585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6" name="Straight Connector 1605">
            <a:extLst>
              <a:ext uri="{FF2B5EF4-FFF2-40B4-BE49-F238E27FC236}">
                <a16:creationId xmlns:a16="http://schemas.microsoft.com/office/drawing/2014/main" id="{9EF7D01D-AC05-4FB9-9507-FC13829D7D25}"/>
              </a:ext>
            </a:extLst>
          </xdr:cNvPr>
          <xdr:cNvCxnSpPr/>
        </xdr:nvCxnSpPr>
        <xdr:spPr>
          <a:xfrm>
            <a:off x="1214439" y="10877550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7" name="Straight Connector 1606">
            <a:extLst>
              <a:ext uri="{FF2B5EF4-FFF2-40B4-BE49-F238E27FC236}">
                <a16:creationId xmlns:a16="http://schemas.microsoft.com/office/drawing/2014/main" id="{6D68DC4B-E5BF-431D-AFC7-AA930A3F512E}"/>
              </a:ext>
            </a:extLst>
          </xdr:cNvPr>
          <xdr:cNvCxnSpPr/>
        </xdr:nvCxnSpPr>
        <xdr:spPr>
          <a:xfrm flipH="1">
            <a:off x="1257302" y="1087374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8" name="Straight Connector 1607">
            <a:extLst>
              <a:ext uri="{FF2B5EF4-FFF2-40B4-BE49-F238E27FC236}">
                <a16:creationId xmlns:a16="http://schemas.microsoft.com/office/drawing/2014/main" id="{D89E1005-69C1-492B-BBA4-EFEB56832603}"/>
              </a:ext>
            </a:extLst>
          </xdr:cNvPr>
          <xdr:cNvCxnSpPr/>
        </xdr:nvCxnSpPr>
        <xdr:spPr>
          <a:xfrm>
            <a:off x="4857766" y="108270675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9" name="Straight Connector 1608">
            <a:extLst>
              <a:ext uri="{FF2B5EF4-FFF2-40B4-BE49-F238E27FC236}">
                <a16:creationId xmlns:a16="http://schemas.microsoft.com/office/drawing/2014/main" id="{518E723D-2FBD-43DF-BFF6-8051E40627EF}"/>
              </a:ext>
            </a:extLst>
          </xdr:cNvPr>
          <xdr:cNvCxnSpPr/>
        </xdr:nvCxnSpPr>
        <xdr:spPr>
          <a:xfrm flipH="1">
            <a:off x="4819668" y="1087374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4" name="Straight Arrow Connector 1613">
            <a:extLst>
              <a:ext uri="{FF2B5EF4-FFF2-40B4-BE49-F238E27FC236}">
                <a16:creationId xmlns:a16="http://schemas.microsoft.com/office/drawing/2014/main" id="{208653E8-C0CD-4051-9DE5-38AE1AF2F5B4}"/>
              </a:ext>
            </a:extLst>
          </xdr:cNvPr>
          <xdr:cNvCxnSpPr/>
        </xdr:nvCxnSpPr>
        <xdr:spPr>
          <a:xfrm>
            <a:off x="3081338" y="104770238"/>
            <a:ext cx="0" cy="4286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6" name="Straight Arrow Connector 1615">
            <a:extLst>
              <a:ext uri="{FF2B5EF4-FFF2-40B4-BE49-F238E27FC236}">
                <a16:creationId xmlns:a16="http://schemas.microsoft.com/office/drawing/2014/main" id="{2F649AA7-7DF7-4AC9-82ED-71EEE5E49B72}"/>
              </a:ext>
            </a:extLst>
          </xdr:cNvPr>
          <xdr:cNvCxnSpPr/>
        </xdr:nvCxnSpPr>
        <xdr:spPr>
          <a:xfrm>
            <a:off x="3962400" y="105055988"/>
            <a:ext cx="0" cy="5048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7" name="Straight Arrow Connector 1616">
            <a:extLst>
              <a:ext uri="{FF2B5EF4-FFF2-40B4-BE49-F238E27FC236}">
                <a16:creationId xmlns:a16="http://schemas.microsoft.com/office/drawing/2014/main" id="{FF531C6F-FD4A-4206-B340-3587335B074E}"/>
              </a:ext>
            </a:extLst>
          </xdr:cNvPr>
          <xdr:cNvCxnSpPr/>
        </xdr:nvCxnSpPr>
        <xdr:spPr>
          <a:xfrm>
            <a:off x="2195513" y="105055988"/>
            <a:ext cx="0" cy="4952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0" name="Straight Connector 1619">
            <a:extLst>
              <a:ext uri="{FF2B5EF4-FFF2-40B4-BE49-F238E27FC236}">
                <a16:creationId xmlns:a16="http://schemas.microsoft.com/office/drawing/2014/main" id="{0D764BDA-285C-432F-8FB1-C7435B4254C4}"/>
              </a:ext>
            </a:extLst>
          </xdr:cNvPr>
          <xdr:cNvCxnSpPr/>
        </xdr:nvCxnSpPr>
        <xdr:spPr>
          <a:xfrm>
            <a:off x="1214438" y="10848975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1" name="Straight Connector 1620">
            <a:extLst>
              <a:ext uri="{FF2B5EF4-FFF2-40B4-BE49-F238E27FC236}">
                <a16:creationId xmlns:a16="http://schemas.microsoft.com/office/drawing/2014/main" id="{C32F3E92-01E7-4273-BC03-E0F0B7C6FCEB}"/>
              </a:ext>
            </a:extLst>
          </xdr:cNvPr>
          <xdr:cNvCxnSpPr/>
        </xdr:nvCxnSpPr>
        <xdr:spPr>
          <a:xfrm flipH="1">
            <a:off x="1257301" y="1084516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2" name="Straight Connector 1621">
            <a:extLst>
              <a:ext uri="{FF2B5EF4-FFF2-40B4-BE49-F238E27FC236}">
                <a16:creationId xmlns:a16="http://schemas.microsoft.com/office/drawing/2014/main" id="{D565CE27-F05C-4AFB-BFC5-2CE1B8E99CB7}"/>
              </a:ext>
            </a:extLst>
          </xdr:cNvPr>
          <xdr:cNvCxnSpPr/>
        </xdr:nvCxnSpPr>
        <xdr:spPr>
          <a:xfrm flipH="1">
            <a:off x="4819667" y="1084516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5" name="Straight Connector 1624">
            <a:extLst>
              <a:ext uri="{FF2B5EF4-FFF2-40B4-BE49-F238E27FC236}">
                <a16:creationId xmlns:a16="http://schemas.microsoft.com/office/drawing/2014/main" id="{16683574-A0CC-4D61-9C13-0DA2EF6BEFF7}"/>
              </a:ext>
            </a:extLst>
          </xdr:cNvPr>
          <xdr:cNvCxnSpPr/>
        </xdr:nvCxnSpPr>
        <xdr:spPr>
          <a:xfrm>
            <a:off x="2181225" y="105856088"/>
            <a:ext cx="0" cy="27003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6" name="Straight Connector 1625">
            <a:extLst>
              <a:ext uri="{FF2B5EF4-FFF2-40B4-BE49-F238E27FC236}">
                <a16:creationId xmlns:a16="http://schemas.microsoft.com/office/drawing/2014/main" id="{AD811D0B-6281-4DF4-895C-5946BBCC808B}"/>
              </a:ext>
            </a:extLst>
          </xdr:cNvPr>
          <xdr:cNvCxnSpPr/>
        </xdr:nvCxnSpPr>
        <xdr:spPr>
          <a:xfrm flipH="1">
            <a:off x="2143127" y="1084516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8" name="Straight Connector 1627">
            <a:extLst>
              <a:ext uri="{FF2B5EF4-FFF2-40B4-BE49-F238E27FC236}">
                <a16:creationId xmlns:a16="http://schemas.microsoft.com/office/drawing/2014/main" id="{FA953082-2094-48A9-B543-DD902F5FC8E8}"/>
              </a:ext>
            </a:extLst>
          </xdr:cNvPr>
          <xdr:cNvCxnSpPr/>
        </xdr:nvCxnSpPr>
        <xdr:spPr>
          <a:xfrm>
            <a:off x="3967164" y="105856095"/>
            <a:ext cx="0" cy="27003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9" name="Straight Connector 1628">
            <a:extLst>
              <a:ext uri="{FF2B5EF4-FFF2-40B4-BE49-F238E27FC236}">
                <a16:creationId xmlns:a16="http://schemas.microsoft.com/office/drawing/2014/main" id="{86603C63-DC2A-4D2C-BD83-E46D3E1DCDB8}"/>
              </a:ext>
            </a:extLst>
          </xdr:cNvPr>
          <xdr:cNvCxnSpPr/>
        </xdr:nvCxnSpPr>
        <xdr:spPr>
          <a:xfrm flipH="1">
            <a:off x="3929066" y="10845165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0" name="Straight Connector 1629">
            <a:extLst>
              <a:ext uri="{FF2B5EF4-FFF2-40B4-BE49-F238E27FC236}">
                <a16:creationId xmlns:a16="http://schemas.microsoft.com/office/drawing/2014/main" id="{F0A8CF7E-8398-4997-987D-E953BC66350E}"/>
              </a:ext>
            </a:extLst>
          </xdr:cNvPr>
          <xdr:cNvCxnSpPr/>
        </xdr:nvCxnSpPr>
        <xdr:spPr>
          <a:xfrm>
            <a:off x="3076572" y="105432225"/>
            <a:ext cx="0" cy="31194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1" name="Straight Connector 1630">
            <a:extLst>
              <a:ext uri="{FF2B5EF4-FFF2-40B4-BE49-F238E27FC236}">
                <a16:creationId xmlns:a16="http://schemas.microsoft.com/office/drawing/2014/main" id="{B4421558-2418-4D30-BEA0-E4CE48BE0632}"/>
              </a:ext>
            </a:extLst>
          </xdr:cNvPr>
          <xdr:cNvCxnSpPr/>
        </xdr:nvCxnSpPr>
        <xdr:spPr>
          <a:xfrm flipH="1">
            <a:off x="3038474" y="10844689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724</xdr:row>
      <xdr:rowOff>0</xdr:rowOff>
    </xdr:from>
    <xdr:to>
      <xdr:col>63</xdr:col>
      <xdr:colOff>0</xdr:colOff>
      <xdr:row>741</xdr:row>
      <xdr:rowOff>0</xdr:rowOff>
    </xdr:to>
    <xdr:grpSp>
      <xdr:nvGrpSpPr>
        <xdr:cNvPr id="389" name="Group 388">
          <a:extLst>
            <a:ext uri="{FF2B5EF4-FFF2-40B4-BE49-F238E27FC236}">
              <a16:creationId xmlns:a16="http://schemas.microsoft.com/office/drawing/2014/main" id="{443F8DB8-0865-8364-98D8-C76627D0FF31}"/>
            </a:ext>
          </a:extLst>
        </xdr:cNvPr>
        <xdr:cNvGrpSpPr/>
      </xdr:nvGrpSpPr>
      <xdr:grpSpPr>
        <a:xfrm>
          <a:off x="5667375" y="105203625"/>
          <a:ext cx="4533900" cy="2428875"/>
          <a:chOff x="5829300" y="105203625"/>
          <a:chExt cx="4533900" cy="2428875"/>
        </a:xfrm>
      </xdr:grpSpPr>
      <xdr:sp macro="" textlink="">
        <xdr:nvSpPr>
          <xdr:cNvPr id="1610" name="Freeform: Shape 1609">
            <a:extLst>
              <a:ext uri="{FF2B5EF4-FFF2-40B4-BE49-F238E27FC236}">
                <a16:creationId xmlns:a16="http://schemas.microsoft.com/office/drawing/2014/main" id="{E1C31B05-F0FC-444B-852F-3D7C0B7D4F70}"/>
              </a:ext>
            </a:extLst>
          </xdr:cNvPr>
          <xdr:cNvSpPr/>
        </xdr:nvSpPr>
        <xdr:spPr>
          <a:xfrm>
            <a:off x="6319837" y="10520362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1" name="Freeform: Shape 1610">
            <a:extLst>
              <a:ext uri="{FF2B5EF4-FFF2-40B4-BE49-F238E27FC236}">
                <a16:creationId xmlns:a16="http://schemas.microsoft.com/office/drawing/2014/main" id="{1328D5DD-C2EA-4485-A827-CC7B5A90D709}"/>
              </a:ext>
            </a:extLst>
          </xdr:cNvPr>
          <xdr:cNvSpPr/>
        </xdr:nvSpPr>
        <xdr:spPr>
          <a:xfrm>
            <a:off x="5829300" y="105913238"/>
            <a:ext cx="495300" cy="1719262"/>
          </a:xfrm>
          <a:custGeom>
            <a:avLst/>
            <a:gdLst>
              <a:gd name="connsiteX0" fmla="*/ 495300 w 495300"/>
              <a:gd name="connsiteY0" fmla="*/ 0 h 1719262"/>
              <a:gd name="connsiteX1" fmla="*/ 0 w 495300"/>
              <a:gd name="connsiteY1" fmla="*/ 0 h 1719262"/>
              <a:gd name="connsiteX2" fmla="*/ 495300 w 495300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9262">
                <a:moveTo>
                  <a:pt x="495300" y="0"/>
                </a:moveTo>
                <a:lnTo>
                  <a:pt x="0" y="0"/>
                </a:lnTo>
                <a:lnTo>
                  <a:pt x="495300" y="17192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2" name="Freeform: Shape 1611">
            <a:extLst>
              <a:ext uri="{FF2B5EF4-FFF2-40B4-BE49-F238E27FC236}">
                <a16:creationId xmlns:a16="http://schemas.microsoft.com/office/drawing/2014/main" id="{15ABE33A-8933-4262-8266-89D184F49E59}"/>
              </a:ext>
            </a:extLst>
          </xdr:cNvPr>
          <xdr:cNvSpPr/>
        </xdr:nvSpPr>
        <xdr:spPr>
          <a:xfrm>
            <a:off x="9877425" y="105922763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41" name="Straight Connector 1640">
            <a:extLst>
              <a:ext uri="{FF2B5EF4-FFF2-40B4-BE49-F238E27FC236}">
                <a16:creationId xmlns:a16="http://schemas.microsoft.com/office/drawing/2014/main" id="{3CA59458-E35F-402F-96A7-A4F84B8618B4}"/>
              </a:ext>
            </a:extLst>
          </xdr:cNvPr>
          <xdr:cNvCxnSpPr>
            <a:cxnSpLocks/>
          </xdr:cNvCxnSpPr>
        </xdr:nvCxnSpPr>
        <xdr:spPr>
          <a:xfrm flipH="1" flipV="1">
            <a:off x="7210424" y="105560811"/>
            <a:ext cx="150182" cy="35718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45" name="Freeform: Shape 1644">
            <a:extLst>
              <a:ext uri="{FF2B5EF4-FFF2-40B4-BE49-F238E27FC236}">
                <a16:creationId xmlns:a16="http://schemas.microsoft.com/office/drawing/2014/main" id="{F18C068F-F884-8765-FA87-85DAB6BAA867}"/>
              </a:ext>
            </a:extLst>
          </xdr:cNvPr>
          <xdr:cNvSpPr/>
        </xdr:nvSpPr>
        <xdr:spPr>
          <a:xfrm>
            <a:off x="6148388" y="105217912"/>
            <a:ext cx="2181225" cy="709613"/>
          </a:xfrm>
          <a:custGeom>
            <a:avLst/>
            <a:gdLst>
              <a:gd name="connsiteX0" fmla="*/ 171450 w 2181225"/>
              <a:gd name="connsiteY0" fmla="*/ 695325 h 709613"/>
              <a:gd name="connsiteX1" fmla="*/ 0 w 2181225"/>
              <a:gd name="connsiteY1" fmla="*/ 276225 h 709613"/>
              <a:gd name="connsiteX2" fmla="*/ 1223963 w 2181225"/>
              <a:gd name="connsiteY2" fmla="*/ 709613 h 709613"/>
              <a:gd name="connsiteX3" fmla="*/ 2181225 w 2181225"/>
              <a:gd name="connsiteY3" fmla="*/ 552450 h 709613"/>
              <a:gd name="connsiteX4" fmla="*/ 1947863 w 2181225"/>
              <a:gd name="connsiteY4" fmla="*/ 0 h 7096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181225" h="709613">
                <a:moveTo>
                  <a:pt x="171450" y="695325"/>
                </a:moveTo>
                <a:lnTo>
                  <a:pt x="0" y="276225"/>
                </a:lnTo>
                <a:lnTo>
                  <a:pt x="1223963" y="709613"/>
                </a:lnTo>
                <a:lnTo>
                  <a:pt x="2181225" y="552450"/>
                </a:lnTo>
                <a:lnTo>
                  <a:pt x="1947863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46" name="Straight Connector 1645">
            <a:extLst>
              <a:ext uri="{FF2B5EF4-FFF2-40B4-BE49-F238E27FC236}">
                <a16:creationId xmlns:a16="http://schemas.microsoft.com/office/drawing/2014/main" id="{4DAD13FD-F1BD-4FE4-9045-7C17A06F28CF}"/>
              </a:ext>
            </a:extLst>
          </xdr:cNvPr>
          <xdr:cNvCxnSpPr/>
        </xdr:nvCxnSpPr>
        <xdr:spPr>
          <a:xfrm flipH="1">
            <a:off x="8853488" y="105570337"/>
            <a:ext cx="142007" cy="35147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47" name="Freeform: Shape 1646">
            <a:extLst>
              <a:ext uri="{FF2B5EF4-FFF2-40B4-BE49-F238E27FC236}">
                <a16:creationId xmlns:a16="http://schemas.microsoft.com/office/drawing/2014/main" id="{B2496560-DB9E-7638-C74C-1F31BA744E10}"/>
              </a:ext>
            </a:extLst>
          </xdr:cNvPr>
          <xdr:cNvSpPr/>
        </xdr:nvSpPr>
        <xdr:spPr>
          <a:xfrm>
            <a:off x="7867650" y="105213150"/>
            <a:ext cx="2190750" cy="723900"/>
          </a:xfrm>
          <a:custGeom>
            <a:avLst/>
            <a:gdLst>
              <a:gd name="connsiteX0" fmla="*/ 2005012 w 2190750"/>
              <a:gd name="connsiteY0" fmla="*/ 723900 h 723900"/>
              <a:gd name="connsiteX1" fmla="*/ 2190750 w 2190750"/>
              <a:gd name="connsiteY1" fmla="*/ 285750 h 723900"/>
              <a:gd name="connsiteX2" fmla="*/ 990600 w 2190750"/>
              <a:gd name="connsiteY2" fmla="*/ 723900 h 723900"/>
              <a:gd name="connsiteX3" fmla="*/ 0 w 2190750"/>
              <a:gd name="connsiteY3" fmla="*/ 571500 h 723900"/>
              <a:gd name="connsiteX4" fmla="*/ 228600 w 2190750"/>
              <a:gd name="connsiteY4" fmla="*/ 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190750" h="723900">
                <a:moveTo>
                  <a:pt x="2005012" y="723900"/>
                </a:moveTo>
                <a:lnTo>
                  <a:pt x="2190750" y="285750"/>
                </a:lnTo>
                <a:lnTo>
                  <a:pt x="990600" y="723900"/>
                </a:lnTo>
                <a:lnTo>
                  <a:pt x="0" y="571500"/>
                </a:lnTo>
                <a:lnTo>
                  <a:pt x="228600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38</xdr:col>
      <xdr:colOff>4762</xdr:colOff>
      <xdr:row>751</xdr:row>
      <xdr:rowOff>138112</xdr:rowOff>
    </xdr:from>
    <xdr:to>
      <xdr:col>63</xdr:col>
      <xdr:colOff>1</xdr:colOff>
      <xdr:row>771</xdr:row>
      <xdr:rowOff>1</xdr:rowOff>
    </xdr:to>
    <xdr:grpSp>
      <xdr:nvGrpSpPr>
        <xdr:cNvPr id="391" name="Group 390">
          <a:extLst>
            <a:ext uri="{FF2B5EF4-FFF2-40B4-BE49-F238E27FC236}">
              <a16:creationId xmlns:a16="http://schemas.microsoft.com/office/drawing/2014/main" id="{0F7E80B5-E4DA-3BCD-4F93-B44D29E07600}"/>
            </a:ext>
          </a:extLst>
        </xdr:cNvPr>
        <xdr:cNvGrpSpPr/>
      </xdr:nvGrpSpPr>
      <xdr:grpSpPr>
        <a:xfrm>
          <a:off x="6157912" y="109199362"/>
          <a:ext cx="4043364" cy="2719389"/>
          <a:chOff x="6319837" y="109199362"/>
          <a:chExt cx="4043364" cy="2719389"/>
        </a:xfrm>
      </xdr:grpSpPr>
      <xdr:sp macro="" textlink="">
        <xdr:nvSpPr>
          <xdr:cNvPr id="1672" name="Freeform: Shape 1671">
            <a:extLst>
              <a:ext uri="{FF2B5EF4-FFF2-40B4-BE49-F238E27FC236}">
                <a16:creationId xmlns:a16="http://schemas.microsoft.com/office/drawing/2014/main" id="{3A44B678-BC59-40D3-866D-E2AE202682CD}"/>
              </a:ext>
            </a:extLst>
          </xdr:cNvPr>
          <xdr:cNvSpPr/>
        </xdr:nvSpPr>
        <xdr:spPr>
          <a:xfrm>
            <a:off x="6319837" y="10948987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74" name="Freeform: Shape 1673">
            <a:extLst>
              <a:ext uri="{FF2B5EF4-FFF2-40B4-BE49-F238E27FC236}">
                <a16:creationId xmlns:a16="http://schemas.microsoft.com/office/drawing/2014/main" id="{FB787078-4AAD-425A-9FE3-E276D69E1FAD}"/>
              </a:ext>
            </a:extLst>
          </xdr:cNvPr>
          <xdr:cNvSpPr/>
        </xdr:nvSpPr>
        <xdr:spPr>
          <a:xfrm>
            <a:off x="6319838" y="110209014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80" name="Freeform: Shape 1679">
            <a:extLst>
              <a:ext uri="{FF2B5EF4-FFF2-40B4-BE49-F238E27FC236}">
                <a16:creationId xmlns:a16="http://schemas.microsoft.com/office/drawing/2014/main" id="{8EE40A0E-A1F6-4ED7-9657-14BB8617E25A}"/>
              </a:ext>
            </a:extLst>
          </xdr:cNvPr>
          <xdr:cNvSpPr/>
        </xdr:nvSpPr>
        <xdr:spPr>
          <a:xfrm>
            <a:off x="9877426" y="110204252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85" name="Freeform: Shape 1684">
            <a:extLst>
              <a:ext uri="{FF2B5EF4-FFF2-40B4-BE49-F238E27FC236}">
                <a16:creationId xmlns:a16="http://schemas.microsoft.com/office/drawing/2014/main" id="{1C140548-FF30-8531-CC79-4DC45C2DCDD4}"/>
              </a:ext>
            </a:extLst>
          </xdr:cNvPr>
          <xdr:cNvSpPr/>
        </xdr:nvSpPr>
        <xdr:spPr>
          <a:xfrm>
            <a:off x="6319838" y="109199362"/>
            <a:ext cx="1776413" cy="1409700"/>
          </a:xfrm>
          <a:custGeom>
            <a:avLst/>
            <a:gdLst>
              <a:gd name="connsiteX0" fmla="*/ 0 w 1776413"/>
              <a:gd name="connsiteY0" fmla="*/ 1000125 h 1409700"/>
              <a:gd name="connsiteX1" fmla="*/ 161925 w 1776413"/>
              <a:gd name="connsiteY1" fmla="*/ 1409700 h 1409700"/>
              <a:gd name="connsiteX2" fmla="*/ 1662113 w 1776413"/>
              <a:gd name="connsiteY2" fmla="*/ 0 h 1409700"/>
              <a:gd name="connsiteX3" fmla="*/ 1776413 w 1776413"/>
              <a:gd name="connsiteY3" fmla="*/ 290513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76413" h="1409700">
                <a:moveTo>
                  <a:pt x="0" y="1000125"/>
                </a:moveTo>
                <a:lnTo>
                  <a:pt x="161925" y="1409700"/>
                </a:lnTo>
                <a:lnTo>
                  <a:pt x="1662113" y="0"/>
                </a:lnTo>
                <a:lnTo>
                  <a:pt x="1776413" y="2905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86" name="Freeform: Shape 1685">
            <a:extLst>
              <a:ext uri="{FF2B5EF4-FFF2-40B4-BE49-F238E27FC236}">
                <a16:creationId xmlns:a16="http://schemas.microsoft.com/office/drawing/2014/main" id="{2FE1D0D1-9FBF-B447-4797-29400FF2FCFF}"/>
              </a:ext>
            </a:extLst>
          </xdr:cNvPr>
          <xdr:cNvSpPr/>
        </xdr:nvSpPr>
        <xdr:spPr>
          <a:xfrm>
            <a:off x="8091488" y="109208887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753</xdr:row>
      <xdr:rowOff>76200</xdr:rowOff>
    </xdr:from>
    <xdr:to>
      <xdr:col>32</xdr:col>
      <xdr:colOff>4762</xdr:colOff>
      <xdr:row>777</xdr:row>
      <xdr:rowOff>66675</xdr:rowOff>
    </xdr:to>
    <xdr:grpSp>
      <xdr:nvGrpSpPr>
        <xdr:cNvPr id="390" name="Group 389">
          <a:extLst>
            <a:ext uri="{FF2B5EF4-FFF2-40B4-BE49-F238E27FC236}">
              <a16:creationId xmlns:a16="http://schemas.microsoft.com/office/drawing/2014/main" id="{81D883D6-E1F1-DDD8-B0FC-62C69D8C97F9}"/>
            </a:ext>
          </a:extLst>
        </xdr:cNvPr>
        <xdr:cNvGrpSpPr/>
      </xdr:nvGrpSpPr>
      <xdr:grpSpPr>
        <a:xfrm>
          <a:off x="404814" y="109423200"/>
          <a:ext cx="4781548" cy="3419475"/>
          <a:chOff x="566739" y="109423200"/>
          <a:chExt cx="4781548" cy="3419475"/>
        </a:xfrm>
      </xdr:grpSpPr>
      <xdr:sp macro="" textlink="">
        <xdr:nvSpPr>
          <xdr:cNvPr id="1649" name="Freeform: Shape 1648">
            <a:extLst>
              <a:ext uri="{FF2B5EF4-FFF2-40B4-BE49-F238E27FC236}">
                <a16:creationId xmlns:a16="http://schemas.microsoft.com/office/drawing/2014/main" id="{A486586F-E1C2-4CE7-BE6B-569EE2649B52}"/>
              </a:ext>
            </a:extLst>
          </xdr:cNvPr>
          <xdr:cNvSpPr/>
        </xdr:nvSpPr>
        <xdr:spPr>
          <a:xfrm>
            <a:off x="1300162" y="10949463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9A3F0F67-129B-4DD8-9F3B-604914AAA523}"/>
              </a:ext>
            </a:extLst>
          </xdr:cNvPr>
          <xdr:cNvSpPr/>
        </xdr:nvSpPr>
        <xdr:spPr>
          <a:xfrm>
            <a:off x="1138238" y="1119235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51" name="Oval 1650">
            <a:extLst>
              <a:ext uri="{FF2B5EF4-FFF2-40B4-BE49-F238E27FC236}">
                <a16:creationId xmlns:a16="http://schemas.microsoft.com/office/drawing/2014/main" id="{92F10387-573F-4D9D-837E-1D1BA2CD603D}"/>
              </a:ext>
            </a:extLst>
          </xdr:cNvPr>
          <xdr:cNvSpPr/>
        </xdr:nvSpPr>
        <xdr:spPr>
          <a:xfrm>
            <a:off x="1243014" y="11180920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52" name="Oval 1651">
            <a:extLst>
              <a:ext uri="{FF2B5EF4-FFF2-40B4-BE49-F238E27FC236}">
                <a16:creationId xmlns:a16="http://schemas.microsoft.com/office/drawing/2014/main" id="{0EE7B3AA-BE76-4803-BEF8-85F9356A61E3}"/>
              </a:ext>
            </a:extLst>
          </xdr:cNvPr>
          <xdr:cNvSpPr/>
        </xdr:nvSpPr>
        <xdr:spPr>
          <a:xfrm>
            <a:off x="4805364" y="11181397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53" name="Straight Connector 1652">
            <a:extLst>
              <a:ext uri="{FF2B5EF4-FFF2-40B4-BE49-F238E27FC236}">
                <a16:creationId xmlns:a16="http://schemas.microsoft.com/office/drawing/2014/main" id="{3451F477-B62A-4AF8-8788-7A2BA5FABBCE}"/>
              </a:ext>
            </a:extLst>
          </xdr:cNvPr>
          <xdr:cNvCxnSpPr/>
        </xdr:nvCxnSpPr>
        <xdr:spPr>
          <a:xfrm>
            <a:off x="1133475" y="1119187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12D51FDD-B15E-4E2E-BDC4-29DECEDF5F6A}"/>
              </a:ext>
            </a:extLst>
          </xdr:cNvPr>
          <xdr:cNvSpPr/>
        </xdr:nvSpPr>
        <xdr:spPr>
          <a:xfrm>
            <a:off x="4700588" y="1119282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55" name="Straight Connector 1654">
            <a:extLst>
              <a:ext uri="{FF2B5EF4-FFF2-40B4-BE49-F238E27FC236}">
                <a16:creationId xmlns:a16="http://schemas.microsoft.com/office/drawing/2014/main" id="{0DAAAB42-1EA3-4DA1-AE83-515846C150F8}"/>
              </a:ext>
            </a:extLst>
          </xdr:cNvPr>
          <xdr:cNvCxnSpPr/>
        </xdr:nvCxnSpPr>
        <xdr:spPr>
          <a:xfrm>
            <a:off x="4695825" y="1119235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6" name="Straight Connector 1655">
            <a:extLst>
              <a:ext uri="{FF2B5EF4-FFF2-40B4-BE49-F238E27FC236}">
                <a16:creationId xmlns:a16="http://schemas.microsoft.com/office/drawing/2014/main" id="{D21D0E0E-5620-472B-AD2A-8752D0F2B981}"/>
              </a:ext>
            </a:extLst>
          </xdr:cNvPr>
          <xdr:cNvCxnSpPr/>
        </xdr:nvCxnSpPr>
        <xdr:spPr>
          <a:xfrm>
            <a:off x="566739" y="111918751"/>
            <a:ext cx="5048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7" name="Straight Connector 1656">
            <a:extLst>
              <a:ext uri="{FF2B5EF4-FFF2-40B4-BE49-F238E27FC236}">
                <a16:creationId xmlns:a16="http://schemas.microsoft.com/office/drawing/2014/main" id="{B65356E5-5011-44C3-BCF5-E6DD496D7C00}"/>
              </a:ext>
            </a:extLst>
          </xdr:cNvPr>
          <xdr:cNvCxnSpPr/>
        </xdr:nvCxnSpPr>
        <xdr:spPr>
          <a:xfrm flipH="1">
            <a:off x="604839" y="11188541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8" name="Straight Arrow Connector 1657">
            <a:extLst>
              <a:ext uri="{FF2B5EF4-FFF2-40B4-BE49-F238E27FC236}">
                <a16:creationId xmlns:a16="http://schemas.microsoft.com/office/drawing/2014/main" id="{6305E370-4537-42A2-A448-DD73AD7DE180}"/>
              </a:ext>
            </a:extLst>
          </xdr:cNvPr>
          <xdr:cNvCxnSpPr/>
        </xdr:nvCxnSpPr>
        <xdr:spPr>
          <a:xfrm flipV="1">
            <a:off x="1295400" y="11204256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9" name="Straight Arrow Connector 1658">
            <a:extLst>
              <a:ext uri="{FF2B5EF4-FFF2-40B4-BE49-F238E27FC236}">
                <a16:creationId xmlns:a16="http://schemas.microsoft.com/office/drawing/2014/main" id="{FEC7EFD5-35B0-48B6-9FA5-1874D3453139}"/>
              </a:ext>
            </a:extLst>
          </xdr:cNvPr>
          <xdr:cNvCxnSpPr/>
        </xdr:nvCxnSpPr>
        <xdr:spPr>
          <a:xfrm flipV="1">
            <a:off x="4857750" y="1120425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1" name="Straight Arrow Connector 1660">
            <a:extLst>
              <a:ext uri="{FF2B5EF4-FFF2-40B4-BE49-F238E27FC236}">
                <a16:creationId xmlns:a16="http://schemas.microsoft.com/office/drawing/2014/main" id="{10DA2B0C-8988-45A8-8471-EE93578C3678}"/>
              </a:ext>
            </a:extLst>
          </xdr:cNvPr>
          <xdr:cNvCxnSpPr/>
        </xdr:nvCxnSpPr>
        <xdr:spPr>
          <a:xfrm flipH="1">
            <a:off x="5038724" y="1119187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2" name="Straight Connector 1661">
            <a:extLst>
              <a:ext uri="{FF2B5EF4-FFF2-40B4-BE49-F238E27FC236}">
                <a16:creationId xmlns:a16="http://schemas.microsoft.com/office/drawing/2014/main" id="{6063AB3F-342A-4626-A311-2F5F0001DDAE}"/>
              </a:ext>
            </a:extLst>
          </xdr:cNvPr>
          <xdr:cNvCxnSpPr/>
        </xdr:nvCxnSpPr>
        <xdr:spPr>
          <a:xfrm flipV="1">
            <a:off x="647700" y="10942320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3" name="Straight Connector 1662">
            <a:extLst>
              <a:ext uri="{FF2B5EF4-FFF2-40B4-BE49-F238E27FC236}">
                <a16:creationId xmlns:a16="http://schemas.microsoft.com/office/drawing/2014/main" id="{7547915C-9A36-4E4D-9218-0615A4D2FF6D}"/>
              </a:ext>
            </a:extLst>
          </xdr:cNvPr>
          <xdr:cNvCxnSpPr/>
        </xdr:nvCxnSpPr>
        <xdr:spPr>
          <a:xfrm>
            <a:off x="581025" y="10948987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4" name="Straight Connector 1663">
            <a:extLst>
              <a:ext uri="{FF2B5EF4-FFF2-40B4-BE49-F238E27FC236}">
                <a16:creationId xmlns:a16="http://schemas.microsoft.com/office/drawing/2014/main" id="{1D1AD069-29CF-46A6-8A24-586B475BC453}"/>
              </a:ext>
            </a:extLst>
          </xdr:cNvPr>
          <xdr:cNvCxnSpPr/>
        </xdr:nvCxnSpPr>
        <xdr:spPr>
          <a:xfrm flipH="1">
            <a:off x="614363" y="1094613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5" name="Straight Connector 1664">
            <a:extLst>
              <a:ext uri="{FF2B5EF4-FFF2-40B4-BE49-F238E27FC236}">
                <a16:creationId xmlns:a16="http://schemas.microsoft.com/office/drawing/2014/main" id="{0E819BE5-E4D9-4158-8D12-AC7443EBD355}"/>
              </a:ext>
            </a:extLst>
          </xdr:cNvPr>
          <xdr:cNvCxnSpPr/>
        </xdr:nvCxnSpPr>
        <xdr:spPr>
          <a:xfrm>
            <a:off x="581025" y="110204251"/>
            <a:ext cx="200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6" name="Straight Connector 1665">
            <a:extLst>
              <a:ext uri="{FF2B5EF4-FFF2-40B4-BE49-F238E27FC236}">
                <a16:creationId xmlns:a16="http://schemas.microsoft.com/office/drawing/2014/main" id="{0F793958-123F-4021-8721-F342F245C775}"/>
              </a:ext>
            </a:extLst>
          </xdr:cNvPr>
          <xdr:cNvCxnSpPr/>
        </xdr:nvCxnSpPr>
        <xdr:spPr>
          <a:xfrm flipH="1">
            <a:off x="614363" y="1101756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7" name="Straight Connector 1666">
            <a:extLst>
              <a:ext uri="{FF2B5EF4-FFF2-40B4-BE49-F238E27FC236}">
                <a16:creationId xmlns:a16="http://schemas.microsoft.com/office/drawing/2014/main" id="{16639CAA-DAB3-4564-9E51-FDB63C731C92}"/>
              </a:ext>
            </a:extLst>
          </xdr:cNvPr>
          <xdr:cNvCxnSpPr/>
        </xdr:nvCxnSpPr>
        <xdr:spPr>
          <a:xfrm>
            <a:off x="1295400" y="1125426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8" name="Straight Connector 1667">
            <a:extLst>
              <a:ext uri="{FF2B5EF4-FFF2-40B4-BE49-F238E27FC236}">
                <a16:creationId xmlns:a16="http://schemas.microsoft.com/office/drawing/2014/main" id="{6BB30747-71B6-417A-8139-FDE840EFE98D}"/>
              </a:ext>
            </a:extLst>
          </xdr:cNvPr>
          <xdr:cNvCxnSpPr/>
        </xdr:nvCxnSpPr>
        <xdr:spPr>
          <a:xfrm>
            <a:off x="1214439" y="11277600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9" name="Straight Connector 1668">
            <a:extLst>
              <a:ext uri="{FF2B5EF4-FFF2-40B4-BE49-F238E27FC236}">
                <a16:creationId xmlns:a16="http://schemas.microsoft.com/office/drawing/2014/main" id="{11FEBB25-3302-404B-91F1-D1B7264937FA}"/>
              </a:ext>
            </a:extLst>
          </xdr:cNvPr>
          <xdr:cNvCxnSpPr/>
        </xdr:nvCxnSpPr>
        <xdr:spPr>
          <a:xfrm flipH="1">
            <a:off x="1257302" y="1127379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0" name="Straight Connector 1669">
            <a:extLst>
              <a:ext uri="{FF2B5EF4-FFF2-40B4-BE49-F238E27FC236}">
                <a16:creationId xmlns:a16="http://schemas.microsoft.com/office/drawing/2014/main" id="{87F9DC56-621A-43C3-97D0-4841026387ED}"/>
              </a:ext>
            </a:extLst>
          </xdr:cNvPr>
          <xdr:cNvCxnSpPr/>
        </xdr:nvCxnSpPr>
        <xdr:spPr>
          <a:xfrm>
            <a:off x="4857766" y="1125569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1" name="Straight Connector 1670">
            <a:extLst>
              <a:ext uri="{FF2B5EF4-FFF2-40B4-BE49-F238E27FC236}">
                <a16:creationId xmlns:a16="http://schemas.microsoft.com/office/drawing/2014/main" id="{4CD0191F-7209-4BB0-8B00-3B46FCA38905}"/>
              </a:ext>
            </a:extLst>
          </xdr:cNvPr>
          <xdr:cNvCxnSpPr/>
        </xdr:nvCxnSpPr>
        <xdr:spPr>
          <a:xfrm flipH="1">
            <a:off x="4819668" y="1127379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9" name="Straight Arrow Connector 1678">
            <a:extLst>
              <a:ext uri="{FF2B5EF4-FFF2-40B4-BE49-F238E27FC236}">
                <a16:creationId xmlns:a16="http://schemas.microsoft.com/office/drawing/2014/main" id="{2CE17AE0-1D52-40A8-8D08-AC5B1E7C0CE6}"/>
              </a:ext>
            </a:extLst>
          </xdr:cNvPr>
          <xdr:cNvCxnSpPr/>
        </xdr:nvCxnSpPr>
        <xdr:spPr>
          <a:xfrm>
            <a:off x="976312" y="110209013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7" name="Straight Arrow Connector 1686">
            <a:extLst>
              <a:ext uri="{FF2B5EF4-FFF2-40B4-BE49-F238E27FC236}">
                <a16:creationId xmlns:a16="http://schemas.microsoft.com/office/drawing/2014/main" id="{E15FA33B-CA36-4547-B025-DBBA50769A59}"/>
              </a:ext>
            </a:extLst>
          </xdr:cNvPr>
          <xdr:cNvCxnSpPr/>
        </xdr:nvCxnSpPr>
        <xdr:spPr>
          <a:xfrm flipH="1">
            <a:off x="1481138" y="111918749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80964</xdr:colOff>
      <xdr:row>780</xdr:row>
      <xdr:rowOff>76200</xdr:rowOff>
    </xdr:from>
    <xdr:to>
      <xdr:col>32</xdr:col>
      <xdr:colOff>4762</xdr:colOff>
      <xdr:row>804</xdr:row>
      <xdr:rowOff>66675</xdr:rowOff>
    </xdr:to>
    <xdr:grpSp>
      <xdr:nvGrpSpPr>
        <xdr:cNvPr id="392" name="Group 391">
          <a:extLst>
            <a:ext uri="{FF2B5EF4-FFF2-40B4-BE49-F238E27FC236}">
              <a16:creationId xmlns:a16="http://schemas.microsoft.com/office/drawing/2014/main" id="{5CB6ED52-9EF1-042F-AD97-DD86333BFE85}"/>
            </a:ext>
          </a:extLst>
        </xdr:cNvPr>
        <xdr:cNvGrpSpPr/>
      </xdr:nvGrpSpPr>
      <xdr:grpSpPr>
        <a:xfrm>
          <a:off x="404814" y="113280825"/>
          <a:ext cx="4781548" cy="3419475"/>
          <a:chOff x="566739" y="113280825"/>
          <a:chExt cx="4781548" cy="3419475"/>
        </a:xfrm>
      </xdr:grpSpPr>
      <xdr:sp macro="" textlink="">
        <xdr:nvSpPr>
          <xdr:cNvPr id="1689" name="Freeform: Shape 1688">
            <a:extLst>
              <a:ext uri="{FF2B5EF4-FFF2-40B4-BE49-F238E27FC236}">
                <a16:creationId xmlns:a16="http://schemas.microsoft.com/office/drawing/2014/main" id="{C5AF157F-76EC-4674-B720-93A589904A5C}"/>
              </a:ext>
            </a:extLst>
          </xdr:cNvPr>
          <xdr:cNvSpPr/>
        </xdr:nvSpPr>
        <xdr:spPr>
          <a:xfrm>
            <a:off x="1300162" y="11335226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A389BC07-8DB7-4E54-A73C-4FC3883E420B}"/>
              </a:ext>
            </a:extLst>
          </xdr:cNvPr>
          <xdr:cNvSpPr/>
        </xdr:nvSpPr>
        <xdr:spPr>
          <a:xfrm>
            <a:off x="1138238" y="1157811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91" name="Oval 1690">
            <a:extLst>
              <a:ext uri="{FF2B5EF4-FFF2-40B4-BE49-F238E27FC236}">
                <a16:creationId xmlns:a16="http://schemas.microsoft.com/office/drawing/2014/main" id="{0B2DB62C-7876-4AF0-A3F7-9D43E9CCAE79}"/>
              </a:ext>
            </a:extLst>
          </xdr:cNvPr>
          <xdr:cNvSpPr/>
        </xdr:nvSpPr>
        <xdr:spPr>
          <a:xfrm>
            <a:off x="1243014" y="1156668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92" name="Oval 1691">
            <a:extLst>
              <a:ext uri="{FF2B5EF4-FFF2-40B4-BE49-F238E27FC236}">
                <a16:creationId xmlns:a16="http://schemas.microsoft.com/office/drawing/2014/main" id="{75918725-A43D-4D63-890C-87124ED88CC2}"/>
              </a:ext>
            </a:extLst>
          </xdr:cNvPr>
          <xdr:cNvSpPr/>
        </xdr:nvSpPr>
        <xdr:spPr>
          <a:xfrm>
            <a:off x="4805364" y="11567159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93" name="Straight Connector 1692">
            <a:extLst>
              <a:ext uri="{FF2B5EF4-FFF2-40B4-BE49-F238E27FC236}">
                <a16:creationId xmlns:a16="http://schemas.microsoft.com/office/drawing/2014/main" id="{751DACD3-96C8-4F8E-A381-F4BEC9435F17}"/>
              </a:ext>
            </a:extLst>
          </xdr:cNvPr>
          <xdr:cNvCxnSpPr/>
        </xdr:nvCxnSpPr>
        <xdr:spPr>
          <a:xfrm>
            <a:off x="1133475" y="1157763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95BCAE31-B6DD-461E-A5B0-0562F9D3EBD3}"/>
              </a:ext>
            </a:extLst>
          </xdr:cNvPr>
          <xdr:cNvSpPr/>
        </xdr:nvSpPr>
        <xdr:spPr>
          <a:xfrm>
            <a:off x="4700588" y="1157858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95" name="Straight Connector 1694">
            <a:extLst>
              <a:ext uri="{FF2B5EF4-FFF2-40B4-BE49-F238E27FC236}">
                <a16:creationId xmlns:a16="http://schemas.microsoft.com/office/drawing/2014/main" id="{CFC70A43-0011-4D3A-AA01-3EE97B37FDBD}"/>
              </a:ext>
            </a:extLst>
          </xdr:cNvPr>
          <xdr:cNvCxnSpPr/>
        </xdr:nvCxnSpPr>
        <xdr:spPr>
          <a:xfrm>
            <a:off x="4695825" y="1157811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6" name="Straight Connector 1695">
            <a:extLst>
              <a:ext uri="{FF2B5EF4-FFF2-40B4-BE49-F238E27FC236}">
                <a16:creationId xmlns:a16="http://schemas.microsoft.com/office/drawing/2014/main" id="{0CA2FE35-90C5-43CD-992F-FC151E76CDE3}"/>
              </a:ext>
            </a:extLst>
          </xdr:cNvPr>
          <xdr:cNvCxnSpPr/>
        </xdr:nvCxnSpPr>
        <xdr:spPr>
          <a:xfrm>
            <a:off x="566739" y="115776376"/>
            <a:ext cx="3286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7" name="Straight Connector 1696">
            <a:extLst>
              <a:ext uri="{FF2B5EF4-FFF2-40B4-BE49-F238E27FC236}">
                <a16:creationId xmlns:a16="http://schemas.microsoft.com/office/drawing/2014/main" id="{A82EEE16-7AFC-4209-9F33-5A4879AC5B57}"/>
              </a:ext>
            </a:extLst>
          </xdr:cNvPr>
          <xdr:cNvCxnSpPr/>
        </xdr:nvCxnSpPr>
        <xdr:spPr>
          <a:xfrm flipH="1">
            <a:off x="604839" y="115743037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8" name="Straight Arrow Connector 1697">
            <a:extLst>
              <a:ext uri="{FF2B5EF4-FFF2-40B4-BE49-F238E27FC236}">
                <a16:creationId xmlns:a16="http://schemas.microsoft.com/office/drawing/2014/main" id="{D7D449CE-7EDD-4BB0-88AC-6DB469DDB19B}"/>
              </a:ext>
            </a:extLst>
          </xdr:cNvPr>
          <xdr:cNvCxnSpPr/>
        </xdr:nvCxnSpPr>
        <xdr:spPr>
          <a:xfrm flipV="1">
            <a:off x="1295400" y="1159001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9" name="Straight Arrow Connector 1698">
            <a:extLst>
              <a:ext uri="{FF2B5EF4-FFF2-40B4-BE49-F238E27FC236}">
                <a16:creationId xmlns:a16="http://schemas.microsoft.com/office/drawing/2014/main" id="{2FCB2FD4-B812-4188-A8BF-12C32B1813DC}"/>
              </a:ext>
            </a:extLst>
          </xdr:cNvPr>
          <xdr:cNvCxnSpPr/>
        </xdr:nvCxnSpPr>
        <xdr:spPr>
          <a:xfrm flipV="1">
            <a:off x="4857750" y="1159001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0" name="Straight Arrow Connector 1699">
            <a:extLst>
              <a:ext uri="{FF2B5EF4-FFF2-40B4-BE49-F238E27FC236}">
                <a16:creationId xmlns:a16="http://schemas.microsoft.com/office/drawing/2014/main" id="{33341355-B58C-42DA-A75C-B5E10FCBBE19}"/>
              </a:ext>
            </a:extLst>
          </xdr:cNvPr>
          <xdr:cNvCxnSpPr/>
        </xdr:nvCxnSpPr>
        <xdr:spPr>
          <a:xfrm flipH="1">
            <a:off x="5038724" y="1157763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1" name="Straight Connector 1700">
            <a:extLst>
              <a:ext uri="{FF2B5EF4-FFF2-40B4-BE49-F238E27FC236}">
                <a16:creationId xmlns:a16="http://schemas.microsoft.com/office/drawing/2014/main" id="{9D173FD6-FEE2-447C-B0CF-5E75D54FB0FF}"/>
              </a:ext>
            </a:extLst>
          </xdr:cNvPr>
          <xdr:cNvCxnSpPr/>
        </xdr:nvCxnSpPr>
        <xdr:spPr>
          <a:xfrm flipV="1">
            <a:off x="647700" y="11328082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2" name="Straight Connector 1701">
            <a:extLst>
              <a:ext uri="{FF2B5EF4-FFF2-40B4-BE49-F238E27FC236}">
                <a16:creationId xmlns:a16="http://schemas.microsoft.com/office/drawing/2014/main" id="{33142AC0-8D56-4491-9AEF-3DFB53922BC4}"/>
              </a:ext>
            </a:extLst>
          </xdr:cNvPr>
          <xdr:cNvCxnSpPr/>
        </xdr:nvCxnSpPr>
        <xdr:spPr>
          <a:xfrm>
            <a:off x="581025" y="113347501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3" name="Straight Connector 1702">
            <a:extLst>
              <a:ext uri="{FF2B5EF4-FFF2-40B4-BE49-F238E27FC236}">
                <a16:creationId xmlns:a16="http://schemas.microsoft.com/office/drawing/2014/main" id="{283064E7-E32C-4279-BDAC-ECB026B88290}"/>
              </a:ext>
            </a:extLst>
          </xdr:cNvPr>
          <xdr:cNvCxnSpPr/>
        </xdr:nvCxnSpPr>
        <xdr:spPr>
          <a:xfrm flipH="1">
            <a:off x="614363" y="1133189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4" name="Straight Connector 1703">
            <a:extLst>
              <a:ext uri="{FF2B5EF4-FFF2-40B4-BE49-F238E27FC236}">
                <a16:creationId xmlns:a16="http://schemas.microsoft.com/office/drawing/2014/main" id="{56394AC6-454F-4F1E-B195-72ECFBC33D54}"/>
              </a:ext>
            </a:extLst>
          </xdr:cNvPr>
          <xdr:cNvCxnSpPr/>
        </xdr:nvCxnSpPr>
        <xdr:spPr>
          <a:xfrm>
            <a:off x="581025" y="114061876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5" name="Straight Connector 1704">
            <a:extLst>
              <a:ext uri="{FF2B5EF4-FFF2-40B4-BE49-F238E27FC236}">
                <a16:creationId xmlns:a16="http://schemas.microsoft.com/office/drawing/2014/main" id="{2A411994-58B0-46BE-946C-D53BA5AE4B9E}"/>
              </a:ext>
            </a:extLst>
          </xdr:cNvPr>
          <xdr:cNvCxnSpPr/>
        </xdr:nvCxnSpPr>
        <xdr:spPr>
          <a:xfrm flipH="1">
            <a:off x="614363" y="1140333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6" name="Straight Connector 1705">
            <a:extLst>
              <a:ext uri="{FF2B5EF4-FFF2-40B4-BE49-F238E27FC236}">
                <a16:creationId xmlns:a16="http://schemas.microsoft.com/office/drawing/2014/main" id="{A8CA8DFD-DD96-4964-9E80-8D453E91C90C}"/>
              </a:ext>
            </a:extLst>
          </xdr:cNvPr>
          <xdr:cNvCxnSpPr/>
        </xdr:nvCxnSpPr>
        <xdr:spPr>
          <a:xfrm>
            <a:off x="1295400" y="1164002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7" name="Straight Connector 1706">
            <a:extLst>
              <a:ext uri="{FF2B5EF4-FFF2-40B4-BE49-F238E27FC236}">
                <a16:creationId xmlns:a16="http://schemas.microsoft.com/office/drawing/2014/main" id="{FC0DC137-20E7-433D-8BD1-49BFF995C74D}"/>
              </a:ext>
            </a:extLst>
          </xdr:cNvPr>
          <xdr:cNvCxnSpPr/>
        </xdr:nvCxnSpPr>
        <xdr:spPr>
          <a:xfrm>
            <a:off x="1214439" y="11663362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8" name="Straight Connector 1707">
            <a:extLst>
              <a:ext uri="{FF2B5EF4-FFF2-40B4-BE49-F238E27FC236}">
                <a16:creationId xmlns:a16="http://schemas.microsoft.com/office/drawing/2014/main" id="{92356A35-AACB-422A-889D-38B0286DC611}"/>
              </a:ext>
            </a:extLst>
          </xdr:cNvPr>
          <xdr:cNvCxnSpPr/>
        </xdr:nvCxnSpPr>
        <xdr:spPr>
          <a:xfrm flipH="1">
            <a:off x="1257302" y="1165955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9" name="Straight Connector 1708">
            <a:extLst>
              <a:ext uri="{FF2B5EF4-FFF2-40B4-BE49-F238E27FC236}">
                <a16:creationId xmlns:a16="http://schemas.microsoft.com/office/drawing/2014/main" id="{0B8D555B-8ECA-45E1-94F3-8F5341FD45B2}"/>
              </a:ext>
            </a:extLst>
          </xdr:cNvPr>
          <xdr:cNvCxnSpPr/>
        </xdr:nvCxnSpPr>
        <xdr:spPr>
          <a:xfrm>
            <a:off x="4857766" y="1164145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0" name="Straight Connector 1709">
            <a:extLst>
              <a:ext uri="{FF2B5EF4-FFF2-40B4-BE49-F238E27FC236}">
                <a16:creationId xmlns:a16="http://schemas.microsoft.com/office/drawing/2014/main" id="{B71419E5-2864-46DC-8E48-C75E16563643}"/>
              </a:ext>
            </a:extLst>
          </xdr:cNvPr>
          <xdr:cNvCxnSpPr/>
        </xdr:nvCxnSpPr>
        <xdr:spPr>
          <a:xfrm flipH="1">
            <a:off x="4819668" y="1165955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7" name="Straight Arrow Connector 1716">
            <a:extLst>
              <a:ext uri="{FF2B5EF4-FFF2-40B4-BE49-F238E27FC236}">
                <a16:creationId xmlns:a16="http://schemas.microsoft.com/office/drawing/2014/main" id="{8F6FECAB-0EE9-4EA9-8FB6-059AB4CB26AE}"/>
              </a:ext>
            </a:extLst>
          </xdr:cNvPr>
          <xdr:cNvCxnSpPr/>
        </xdr:nvCxnSpPr>
        <xdr:spPr>
          <a:xfrm flipH="1">
            <a:off x="1481138" y="115776374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1" name="Straight Connector 1720">
            <a:extLst>
              <a:ext uri="{FF2B5EF4-FFF2-40B4-BE49-F238E27FC236}">
                <a16:creationId xmlns:a16="http://schemas.microsoft.com/office/drawing/2014/main" id="{1421049A-1454-4D78-97AA-CB7274A315F1}"/>
              </a:ext>
            </a:extLst>
          </xdr:cNvPr>
          <xdr:cNvCxnSpPr/>
        </xdr:nvCxnSpPr>
        <xdr:spPr>
          <a:xfrm>
            <a:off x="971550" y="114066648"/>
            <a:ext cx="0" cy="17097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2" name="Straight Arrow Connector 1721">
            <a:extLst>
              <a:ext uri="{FF2B5EF4-FFF2-40B4-BE49-F238E27FC236}">
                <a16:creationId xmlns:a16="http://schemas.microsoft.com/office/drawing/2014/main" id="{18CA741C-4BD9-459E-9F6C-440F8F1AB435}"/>
              </a:ext>
            </a:extLst>
          </xdr:cNvPr>
          <xdr:cNvCxnSpPr/>
        </xdr:nvCxnSpPr>
        <xdr:spPr>
          <a:xfrm>
            <a:off x="971550" y="11406188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3" name="Straight Arrow Connector 1722">
            <a:extLst>
              <a:ext uri="{FF2B5EF4-FFF2-40B4-BE49-F238E27FC236}">
                <a16:creationId xmlns:a16="http://schemas.microsoft.com/office/drawing/2014/main" id="{6161C04F-1212-495D-8DEE-CB7BDDA883A7}"/>
              </a:ext>
            </a:extLst>
          </xdr:cNvPr>
          <xdr:cNvCxnSpPr/>
        </xdr:nvCxnSpPr>
        <xdr:spPr>
          <a:xfrm>
            <a:off x="971550" y="11420476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4" name="Straight Arrow Connector 1723">
            <a:extLst>
              <a:ext uri="{FF2B5EF4-FFF2-40B4-BE49-F238E27FC236}">
                <a16:creationId xmlns:a16="http://schemas.microsoft.com/office/drawing/2014/main" id="{FCFD4111-E6B8-4586-88C4-D2BC280A18FE}"/>
              </a:ext>
            </a:extLst>
          </xdr:cNvPr>
          <xdr:cNvCxnSpPr/>
        </xdr:nvCxnSpPr>
        <xdr:spPr>
          <a:xfrm>
            <a:off x="971549" y="11434763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5" name="Straight Arrow Connector 1724">
            <a:extLst>
              <a:ext uri="{FF2B5EF4-FFF2-40B4-BE49-F238E27FC236}">
                <a16:creationId xmlns:a16="http://schemas.microsoft.com/office/drawing/2014/main" id="{C4D11C15-0609-4FC7-ACEF-34FB04379C17}"/>
              </a:ext>
            </a:extLst>
          </xdr:cNvPr>
          <xdr:cNvCxnSpPr/>
        </xdr:nvCxnSpPr>
        <xdr:spPr>
          <a:xfrm>
            <a:off x="971549" y="11449051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6" name="Straight Connector 1725">
            <a:extLst>
              <a:ext uri="{FF2B5EF4-FFF2-40B4-BE49-F238E27FC236}">
                <a16:creationId xmlns:a16="http://schemas.microsoft.com/office/drawing/2014/main" id="{4D85FA13-9844-49C9-83D7-6466D8407181}"/>
              </a:ext>
            </a:extLst>
          </xdr:cNvPr>
          <xdr:cNvCxnSpPr/>
        </xdr:nvCxnSpPr>
        <xdr:spPr>
          <a:xfrm>
            <a:off x="1171576" y="114061886"/>
            <a:ext cx="0" cy="17240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7" name="Straight Arrow Connector 1726">
            <a:extLst>
              <a:ext uri="{FF2B5EF4-FFF2-40B4-BE49-F238E27FC236}">
                <a16:creationId xmlns:a16="http://schemas.microsoft.com/office/drawing/2014/main" id="{F30C494E-9318-4057-8682-CB0AB38E2C92}"/>
              </a:ext>
            </a:extLst>
          </xdr:cNvPr>
          <xdr:cNvCxnSpPr/>
        </xdr:nvCxnSpPr>
        <xdr:spPr>
          <a:xfrm>
            <a:off x="966788" y="114633385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8" name="Straight Arrow Connector 1727">
            <a:extLst>
              <a:ext uri="{FF2B5EF4-FFF2-40B4-BE49-F238E27FC236}">
                <a16:creationId xmlns:a16="http://schemas.microsoft.com/office/drawing/2014/main" id="{6E9BDDCF-CCA6-48FA-93B1-F5236E386458}"/>
              </a:ext>
            </a:extLst>
          </xdr:cNvPr>
          <xdr:cNvCxnSpPr/>
        </xdr:nvCxnSpPr>
        <xdr:spPr>
          <a:xfrm>
            <a:off x="966788" y="114776259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9" name="Straight Arrow Connector 1728">
            <a:extLst>
              <a:ext uri="{FF2B5EF4-FFF2-40B4-BE49-F238E27FC236}">
                <a16:creationId xmlns:a16="http://schemas.microsoft.com/office/drawing/2014/main" id="{2E4065F4-A79D-441E-A81A-05825E34F718}"/>
              </a:ext>
            </a:extLst>
          </xdr:cNvPr>
          <xdr:cNvCxnSpPr/>
        </xdr:nvCxnSpPr>
        <xdr:spPr>
          <a:xfrm>
            <a:off x="966787" y="11491913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0" name="Straight Arrow Connector 1729">
            <a:extLst>
              <a:ext uri="{FF2B5EF4-FFF2-40B4-BE49-F238E27FC236}">
                <a16:creationId xmlns:a16="http://schemas.microsoft.com/office/drawing/2014/main" id="{A63C7D97-94D9-4606-B387-92FC5EE51B7F}"/>
              </a:ext>
            </a:extLst>
          </xdr:cNvPr>
          <xdr:cNvCxnSpPr/>
        </xdr:nvCxnSpPr>
        <xdr:spPr>
          <a:xfrm>
            <a:off x="966787" y="11506201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1" name="Straight Arrow Connector 1730">
            <a:extLst>
              <a:ext uri="{FF2B5EF4-FFF2-40B4-BE49-F238E27FC236}">
                <a16:creationId xmlns:a16="http://schemas.microsoft.com/office/drawing/2014/main" id="{5AC4C941-11DB-436B-905C-75902C9E5DA4}"/>
              </a:ext>
            </a:extLst>
          </xdr:cNvPr>
          <xdr:cNvCxnSpPr/>
        </xdr:nvCxnSpPr>
        <xdr:spPr>
          <a:xfrm>
            <a:off x="966778" y="115204892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2" name="Straight Arrow Connector 1731">
            <a:extLst>
              <a:ext uri="{FF2B5EF4-FFF2-40B4-BE49-F238E27FC236}">
                <a16:creationId xmlns:a16="http://schemas.microsoft.com/office/drawing/2014/main" id="{5BFDB74F-E92B-47E7-9018-D8B1B309FB86}"/>
              </a:ext>
            </a:extLst>
          </xdr:cNvPr>
          <xdr:cNvCxnSpPr/>
        </xdr:nvCxnSpPr>
        <xdr:spPr>
          <a:xfrm>
            <a:off x="966778" y="11534776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3" name="Straight Arrow Connector 1732">
            <a:extLst>
              <a:ext uri="{FF2B5EF4-FFF2-40B4-BE49-F238E27FC236}">
                <a16:creationId xmlns:a16="http://schemas.microsoft.com/office/drawing/2014/main" id="{299D0955-0F0A-4B57-B8A3-B6384FE3D38E}"/>
              </a:ext>
            </a:extLst>
          </xdr:cNvPr>
          <xdr:cNvCxnSpPr/>
        </xdr:nvCxnSpPr>
        <xdr:spPr>
          <a:xfrm>
            <a:off x="966777" y="115490643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4" name="Straight Arrow Connector 1733">
            <a:extLst>
              <a:ext uri="{FF2B5EF4-FFF2-40B4-BE49-F238E27FC236}">
                <a16:creationId xmlns:a16="http://schemas.microsoft.com/office/drawing/2014/main" id="{E7E9791A-D3BB-4C07-810D-B545F465678A}"/>
              </a:ext>
            </a:extLst>
          </xdr:cNvPr>
          <xdr:cNvCxnSpPr/>
        </xdr:nvCxnSpPr>
        <xdr:spPr>
          <a:xfrm>
            <a:off x="966777" y="11563351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5" name="Straight Arrow Connector 1734">
            <a:extLst>
              <a:ext uri="{FF2B5EF4-FFF2-40B4-BE49-F238E27FC236}">
                <a16:creationId xmlns:a16="http://schemas.microsoft.com/office/drawing/2014/main" id="{30254FA5-6D63-440E-AD66-756F8E6EC6B3}"/>
              </a:ext>
            </a:extLst>
          </xdr:cNvPr>
          <xdr:cNvCxnSpPr/>
        </xdr:nvCxnSpPr>
        <xdr:spPr>
          <a:xfrm>
            <a:off x="966775" y="11577639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4762</xdr:colOff>
      <xdr:row>778</xdr:row>
      <xdr:rowOff>138112</xdr:rowOff>
    </xdr:from>
    <xdr:to>
      <xdr:col>63</xdr:col>
      <xdr:colOff>1</xdr:colOff>
      <xdr:row>798</xdr:row>
      <xdr:rowOff>0</xdr:rowOff>
    </xdr:to>
    <xdr:grpSp>
      <xdr:nvGrpSpPr>
        <xdr:cNvPr id="393" name="Group 392">
          <a:extLst>
            <a:ext uri="{FF2B5EF4-FFF2-40B4-BE49-F238E27FC236}">
              <a16:creationId xmlns:a16="http://schemas.microsoft.com/office/drawing/2014/main" id="{DB8B85DA-7DCE-ED83-3CDA-0988331994A7}"/>
            </a:ext>
          </a:extLst>
        </xdr:cNvPr>
        <xdr:cNvGrpSpPr/>
      </xdr:nvGrpSpPr>
      <xdr:grpSpPr>
        <a:xfrm>
          <a:off x="6157912" y="113056987"/>
          <a:ext cx="4043364" cy="2719388"/>
          <a:chOff x="6319837" y="113056987"/>
          <a:chExt cx="4043364" cy="2719388"/>
        </a:xfrm>
      </xdr:grpSpPr>
      <xdr:sp macro="" textlink="">
        <xdr:nvSpPr>
          <xdr:cNvPr id="1711" name="Freeform: Shape 1710">
            <a:extLst>
              <a:ext uri="{FF2B5EF4-FFF2-40B4-BE49-F238E27FC236}">
                <a16:creationId xmlns:a16="http://schemas.microsoft.com/office/drawing/2014/main" id="{164DFF23-4F47-4305-890B-FD0492B36974}"/>
              </a:ext>
            </a:extLst>
          </xdr:cNvPr>
          <xdr:cNvSpPr/>
        </xdr:nvSpPr>
        <xdr:spPr>
          <a:xfrm>
            <a:off x="6319837" y="11334750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14" name="Freeform: Shape 1713">
            <a:extLst>
              <a:ext uri="{FF2B5EF4-FFF2-40B4-BE49-F238E27FC236}">
                <a16:creationId xmlns:a16="http://schemas.microsoft.com/office/drawing/2014/main" id="{2259543F-D729-44D7-9093-DDA77831E27F}"/>
              </a:ext>
            </a:extLst>
          </xdr:cNvPr>
          <xdr:cNvSpPr/>
        </xdr:nvSpPr>
        <xdr:spPr>
          <a:xfrm>
            <a:off x="9877426" y="114061877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15" name="Freeform: Shape 1714">
            <a:extLst>
              <a:ext uri="{FF2B5EF4-FFF2-40B4-BE49-F238E27FC236}">
                <a16:creationId xmlns:a16="http://schemas.microsoft.com/office/drawing/2014/main" id="{47DFF7C6-B82E-49CA-AF2B-0DFE91AAD663}"/>
              </a:ext>
            </a:extLst>
          </xdr:cNvPr>
          <xdr:cNvSpPr/>
        </xdr:nvSpPr>
        <xdr:spPr>
          <a:xfrm>
            <a:off x="6319838" y="113056987"/>
            <a:ext cx="1776413" cy="1409700"/>
          </a:xfrm>
          <a:custGeom>
            <a:avLst/>
            <a:gdLst>
              <a:gd name="connsiteX0" fmla="*/ 0 w 1776413"/>
              <a:gd name="connsiteY0" fmla="*/ 1000125 h 1409700"/>
              <a:gd name="connsiteX1" fmla="*/ 161925 w 1776413"/>
              <a:gd name="connsiteY1" fmla="*/ 1409700 h 1409700"/>
              <a:gd name="connsiteX2" fmla="*/ 1662113 w 1776413"/>
              <a:gd name="connsiteY2" fmla="*/ 0 h 1409700"/>
              <a:gd name="connsiteX3" fmla="*/ 1776413 w 1776413"/>
              <a:gd name="connsiteY3" fmla="*/ 290513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76413" h="1409700">
                <a:moveTo>
                  <a:pt x="0" y="1000125"/>
                </a:moveTo>
                <a:lnTo>
                  <a:pt x="161925" y="1409700"/>
                </a:lnTo>
                <a:lnTo>
                  <a:pt x="1662113" y="0"/>
                </a:lnTo>
                <a:lnTo>
                  <a:pt x="1776413" y="2905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16" name="Freeform: Shape 1715">
            <a:extLst>
              <a:ext uri="{FF2B5EF4-FFF2-40B4-BE49-F238E27FC236}">
                <a16:creationId xmlns:a16="http://schemas.microsoft.com/office/drawing/2014/main" id="{5FC5D797-73F6-46AA-8253-F10B9E65984F}"/>
              </a:ext>
            </a:extLst>
          </xdr:cNvPr>
          <xdr:cNvSpPr/>
        </xdr:nvSpPr>
        <xdr:spPr>
          <a:xfrm>
            <a:off x="8091488" y="113056987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39" name="Straight Connector 1738">
            <a:extLst>
              <a:ext uri="{FF2B5EF4-FFF2-40B4-BE49-F238E27FC236}">
                <a16:creationId xmlns:a16="http://schemas.microsoft.com/office/drawing/2014/main" id="{B2C1CD25-712D-7BC0-E404-57601C539A09}"/>
              </a:ext>
            </a:extLst>
          </xdr:cNvPr>
          <xdr:cNvCxnSpPr/>
        </xdr:nvCxnSpPr>
        <xdr:spPr>
          <a:xfrm>
            <a:off x="6324601" y="114061876"/>
            <a:ext cx="44291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0" name="Freeform: Shape 1739">
            <a:extLst>
              <a:ext uri="{FF2B5EF4-FFF2-40B4-BE49-F238E27FC236}">
                <a16:creationId xmlns:a16="http://schemas.microsoft.com/office/drawing/2014/main" id="{82A0DDAE-2BB6-CF5C-291E-B21B6DB2FF72}"/>
              </a:ext>
            </a:extLst>
          </xdr:cNvPr>
          <xdr:cNvSpPr/>
        </xdr:nvSpPr>
        <xdr:spPr>
          <a:xfrm>
            <a:off x="6324600" y="114061875"/>
            <a:ext cx="523392" cy="1714500"/>
          </a:xfrm>
          <a:custGeom>
            <a:avLst/>
            <a:gdLst>
              <a:gd name="connsiteX0" fmla="*/ 0 w 523392"/>
              <a:gd name="connsiteY0" fmla="*/ 1714500 h 1714500"/>
              <a:gd name="connsiteX1" fmla="*/ 490538 w 523392"/>
              <a:gd name="connsiteY1" fmla="*/ 776288 h 1714500"/>
              <a:gd name="connsiteX2" fmla="*/ 438150 w 523392"/>
              <a:gd name="connsiteY2" fmla="*/ 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523392" h="1714500">
                <a:moveTo>
                  <a:pt x="0" y="1714500"/>
                </a:moveTo>
                <a:cubicBezTo>
                  <a:pt x="208756" y="1388269"/>
                  <a:pt x="417513" y="1062038"/>
                  <a:pt x="490538" y="776288"/>
                </a:cubicBezTo>
                <a:cubicBezTo>
                  <a:pt x="563563" y="490538"/>
                  <a:pt x="500856" y="245269"/>
                  <a:pt x="438150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807</xdr:row>
      <xdr:rowOff>76200</xdr:rowOff>
    </xdr:from>
    <xdr:to>
      <xdr:col>32</xdr:col>
      <xdr:colOff>4762</xdr:colOff>
      <xdr:row>831</xdr:row>
      <xdr:rowOff>66675</xdr:rowOff>
    </xdr:to>
    <xdr:grpSp>
      <xdr:nvGrpSpPr>
        <xdr:cNvPr id="394" name="Group 393">
          <a:extLst>
            <a:ext uri="{FF2B5EF4-FFF2-40B4-BE49-F238E27FC236}">
              <a16:creationId xmlns:a16="http://schemas.microsoft.com/office/drawing/2014/main" id="{73008758-0443-2CA0-27A5-C55D7B551321}"/>
            </a:ext>
          </a:extLst>
        </xdr:cNvPr>
        <xdr:cNvGrpSpPr/>
      </xdr:nvGrpSpPr>
      <xdr:grpSpPr>
        <a:xfrm>
          <a:off x="404814" y="117138450"/>
          <a:ext cx="4781548" cy="3419475"/>
          <a:chOff x="566739" y="117138450"/>
          <a:chExt cx="4781548" cy="3419475"/>
        </a:xfrm>
      </xdr:grpSpPr>
      <xdr:sp macro="" textlink="">
        <xdr:nvSpPr>
          <xdr:cNvPr id="1742" name="Freeform: Shape 1741">
            <a:extLst>
              <a:ext uri="{FF2B5EF4-FFF2-40B4-BE49-F238E27FC236}">
                <a16:creationId xmlns:a16="http://schemas.microsoft.com/office/drawing/2014/main" id="{DEEF9F2F-A460-45B7-83BA-EE34959FBFD3}"/>
              </a:ext>
            </a:extLst>
          </xdr:cNvPr>
          <xdr:cNvSpPr/>
        </xdr:nvSpPr>
        <xdr:spPr>
          <a:xfrm>
            <a:off x="1300162" y="11720988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461EE7A9-924B-4479-B0C1-EA1C85C92E80}"/>
              </a:ext>
            </a:extLst>
          </xdr:cNvPr>
          <xdr:cNvSpPr/>
        </xdr:nvSpPr>
        <xdr:spPr>
          <a:xfrm>
            <a:off x="1138238" y="1196387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44" name="Oval 1743">
            <a:extLst>
              <a:ext uri="{FF2B5EF4-FFF2-40B4-BE49-F238E27FC236}">
                <a16:creationId xmlns:a16="http://schemas.microsoft.com/office/drawing/2014/main" id="{E90FDA62-8BBA-4EED-A8B1-9D6105DE83A4}"/>
              </a:ext>
            </a:extLst>
          </xdr:cNvPr>
          <xdr:cNvSpPr/>
        </xdr:nvSpPr>
        <xdr:spPr>
          <a:xfrm>
            <a:off x="1243014" y="119524458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45" name="Oval 1744">
            <a:extLst>
              <a:ext uri="{FF2B5EF4-FFF2-40B4-BE49-F238E27FC236}">
                <a16:creationId xmlns:a16="http://schemas.microsoft.com/office/drawing/2014/main" id="{D1DD1D86-0DE1-4F52-B372-88451FCB975F}"/>
              </a:ext>
            </a:extLst>
          </xdr:cNvPr>
          <xdr:cNvSpPr/>
        </xdr:nvSpPr>
        <xdr:spPr>
          <a:xfrm>
            <a:off x="4805364" y="119529221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46" name="Straight Connector 1745">
            <a:extLst>
              <a:ext uri="{FF2B5EF4-FFF2-40B4-BE49-F238E27FC236}">
                <a16:creationId xmlns:a16="http://schemas.microsoft.com/office/drawing/2014/main" id="{80E8EADC-2414-4A04-B7D3-824CB21D767F}"/>
              </a:ext>
            </a:extLst>
          </xdr:cNvPr>
          <xdr:cNvCxnSpPr/>
        </xdr:nvCxnSpPr>
        <xdr:spPr>
          <a:xfrm>
            <a:off x="1133475" y="1196339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F6455CAD-FE59-40F5-9968-4F1818E7C11B}"/>
              </a:ext>
            </a:extLst>
          </xdr:cNvPr>
          <xdr:cNvSpPr/>
        </xdr:nvSpPr>
        <xdr:spPr>
          <a:xfrm>
            <a:off x="4700588" y="1196435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48" name="Straight Connector 1747">
            <a:extLst>
              <a:ext uri="{FF2B5EF4-FFF2-40B4-BE49-F238E27FC236}">
                <a16:creationId xmlns:a16="http://schemas.microsoft.com/office/drawing/2014/main" id="{59EF9341-C773-4EA8-A0DA-B4B371CCF66B}"/>
              </a:ext>
            </a:extLst>
          </xdr:cNvPr>
          <xdr:cNvCxnSpPr/>
        </xdr:nvCxnSpPr>
        <xdr:spPr>
          <a:xfrm>
            <a:off x="4695825" y="1196387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9" name="Straight Connector 1748">
            <a:extLst>
              <a:ext uri="{FF2B5EF4-FFF2-40B4-BE49-F238E27FC236}">
                <a16:creationId xmlns:a16="http://schemas.microsoft.com/office/drawing/2014/main" id="{0249E7C1-BDE8-488C-9430-2707A2145A1F}"/>
              </a:ext>
            </a:extLst>
          </xdr:cNvPr>
          <xdr:cNvCxnSpPr/>
        </xdr:nvCxnSpPr>
        <xdr:spPr>
          <a:xfrm>
            <a:off x="566739" y="119634001"/>
            <a:ext cx="50958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0" name="Straight Connector 1749">
            <a:extLst>
              <a:ext uri="{FF2B5EF4-FFF2-40B4-BE49-F238E27FC236}">
                <a16:creationId xmlns:a16="http://schemas.microsoft.com/office/drawing/2014/main" id="{BBB6782B-CDBC-4C1E-A171-6963A78845F6}"/>
              </a:ext>
            </a:extLst>
          </xdr:cNvPr>
          <xdr:cNvCxnSpPr/>
        </xdr:nvCxnSpPr>
        <xdr:spPr>
          <a:xfrm flipH="1">
            <a:off x="604839" y="11960066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1" name="Straight Arrow Connector 1750">
            <a:extLst>
              <a:ext uri="{FF2B5EF4-FFF2-40B4-BE49-F238E27FC236}">
                <a16:creationId xmlns:a16="http://schemas.microsoft.com/office/drawing/2014/main" id="{57D10EAB-2289-44BE-BCC6-6C708549C0DB}"/>
              </a:ext>
            </a:extLst>
          </xdr:cNvPr>
          <xdr:cNvCxnSpPr/>
        </xdr:nvCxnSpPr>
        <xdr:spPr>
          <a:xfrm flipV="1">
            <a:off x="1295400" y="11975781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2" name="Straight Arrow Connector 1751">
            <a:extLst>
              <a:ext uri="{FF2B5EF4-FFF2-40B4-BE49-F238E27FC236}">
                <a16:creationId xmlns:a16="http://schemas.microsoft.com/office/drawing/2014/main" id="{6E80FAA2-697C-4B96-94D9-3ECDA96E139B}"/>
              </a:ext>
            </a:extLst>
          </xdr:cNvPr>
          <xdr:cNvCxnSpPr/>
        </xdr:nvCxnSpPr>
        <xdr:spPr>
          <a:xfrm flipV="1">
            <a:off x="4857750" y="1197578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3" name="Straight Arrow Connector 1752">
            <a:extLst>
              <a:ext uri="{FF2B5EF4-FFF2-40B4-BE49-F238E27FC236}">
                <a16:creationId xmlns:a16="http://schemas.microsoft.com/office/drawing/2014/main" id="{A187C87B-D71C-4AD9-9501-68B2A69B9B1F}"/>
              </a:ext>
            </a:extLst>
          </xdr:cNvPr>
          <xdr:cNvCxnSpPr/>
        </xdr:nvCxnSpPr>
        <xdr:spPr>
          <a:xfrm flipH="1">
            <a:off x="5038724" y="1196340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4" name="Straight Connector 1753">
            <a:extLst>
              <a:ext uri="{FF2B5EF4-FFF2-40B4-BE49-F238E27FC236}">
                <a16:creationId xmlns:a16="http://schemas.microsoft.com/office/drawing/2014/main" id="{B3A705A0-52F3-4075-8872-A3567BE2FB15}"/>
              </a:ext>
            </a:extLst>
          </xdr:cNvPr>
          <xdr:cNvCxnSpPr/>
        </xdr:nvCxnSpPr>
        <xdr:spPr>
          <a:xfrm flipV="1">
            <a:off x="647700" y="11713845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5" name="Straight Connector 1754">
            <a:extLst>
              <a:ext uri="{FF2B5EF4-FFF2-40B4-BE49-F238E27FC236}">
                <a16:creationId xmlns:a16="http://schemas.microsoft.com/office/drawing/2014/main" id="{4F571C33-8234-46F2-974C-78E99234976B}"/>
              </a:ext>
            </a:extLst>
          </xdr:cNvPr>
          <xdr:cNvCxnSpPr/>
        </xdr:nvCxnSpPr>
        <xdr:spPr>
          <a:xfrm>
            <a:off x="581025" y="11720512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6" name="Straight Connector 1755">
            <a:extLst>
              <a:ext uri="{FF2B5EF4-FFF2-40B4-BE49-F238E27FC236}">
                <a16:creationId xmlns:a16="http://schemas.microsoft.com/office/drawing/2014/main" id="{B21EE4F2-C8E2-468D-9607-31B212503787}"/>
              </a:ext>
            </a:extLst>
          </xdr:cNvPr>
          <xdr:cNvCxnSpPr/>
        </xdr:nvCxnSpPr>
        <xdr:spPr>
          <a:xfrm flipH="1">
            <a:off x="614363" y="1171765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7" name="Straight Connector 1756">
            <a:extLst>
              <a:ext uri="{FF2B5EF4-FFF2-40B4-BE49-F238E27FC236}">
                <a16:creationId xmlns:a16="http://schemas.microsoft.com/office/drawing/2014/main" id="{3A6F95CA-6185-41E1-9387-C22B0AC11835}"/>
              </a:ext>
            </a:extLst>
          </xdr:cNvPr>
          <xdr:cNvCxnSpPr/>
        </xdr:nvCxnSpPr>
        <xdr:spPr>
          <a:xfrm>
            <a:off x="581025" y="117919501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8" name="Straight Connector 1757">
            <a:extLst>
              <a:ext uri="{FF2B5EF4-FFF2-40B4-BE49-F238E27FC236}">
                <a16:creationId xmlns:a16="http://schemas.microsoft.com/office/drawing/2014/main" id="{3C62A8A6-9591-4A1B-9047-3C22F8B94B57}"/>
              </a:ext>
            </a:extLst>
          </xdr:cNvPr>
          <xdr:cNvCxnSpPr/>
        </xdr:nvCxnSpPr>
        <xdr:spPr>
          <a:xfrm flipH="1">
            <a:off x="614363" y="1178909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9" name="Straight Connector 1758">
            <a:extLst>
              <a:ext uri="{FF2B5EF4-FFF2-40B4-BE49-F238E27FC236}">
                <a16:creationId xmlns:a16="http://schemas.microsoft.com/office/drawing/2014/main" id="{90934BC2-679E-40EA-8F2B-280D7736FFB8}"/>
              </a:ext>
            </a:extLst>
          </xdr:cNvPr>
          <xdr:cNvCxnSpPr/>
        </xdr:nvCxnSpPr>
        <xdr:spPr>
          <a:xfrm>
            <a:off x="1295400" y="1202578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0" name="Straight Connector 1759">
            <a:extLst>
              <a:ext uri="{FF2B5EF4-FFF2-40B4-BE49-F238E27FC236}">
                <a16:creationId xmlns:a16="http://schemas.microsoft.com/office/drawing/2014/main" id="{78B6B42B-64C8-4D2A-A4F2-1E3FDF1489E2}"/>
              </a:ext>
            </a:extLst>
          </xdr:cNvPr>
          <xdr:cNvCxnSpPr/>
        </xdr:nvCxnSpPr>
        <xdr:spPr>
          <a:xfrm>
            <a:off x="1214439" y="12049125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1" name="Straight Connector 1760">
            <a:extLst>
              <a:ext uri="{FF2B5EF4-FFF2-40B4-BE49-F238E27FC236}">
                <a16:creationId xmlns:a16="http://schemas.microsoft.com/office/drawing/2014/main" id="{1397918C-4FDF-42DE-971F-811DDF2AB49D}"/>
              </a:ext>
            </a:extLst>
          </xdr:cNvPr>
          <xdr:cNvCxnSpPr/>
        </xdr:nvCxnSpPr>
        <xdr:spPr>
          <a:xfrm flipH="1">
            <a:off x="1257302" y="1204531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2" name="Straight Connector 1761">
            <a:extLst>
              <a:ext uri="{FF2B5EF4-FFF2-40B4-BE49-F238E27FC236}">
                <a16:creationId xmlns:a16="http://schemas.microsoft.com/office/drawing/2014/main" id="{BAF2961E-998D-48DE-9872-679A44A4D4B0}"/>
              </a:ext>
            </a:extLst>
          </xdr:cNvPr>
          <xdr:cNvCxnSpPr/>
        </xdr:nvCxnSpPr>
        <xdr:spPr>
          <a:xfrm>
            <a:off x="4857766" y="1202721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3" name="Straight Connector 1762">
            <a:extLst>
              <a:ext uri="{FF2B5EF4-FFF2-40B4-BE49-F238E27FC236}">
                <a16:creationId xmlns:a16="http://schemas.microsoft.com/office/drawing/2014/main" id="{52BB525E-30DE-4B75-8431-372E008237C7}"/>
              </a:ext>
            </a:extLst>
          </xdr:cNvPr>
          <xdr:cNvCxnSpPr/>
        </xdr:nvCxnSpPr>
        <xdr:spPr>
          <a:xfrm flipH="1">
            <a:off x="4819668" y="1204531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8" name="Straight Arrow Connector 1767">
            <a:extLst>
              <a:ext uri="{FF2B5EF4-FFF2-40B4-BE49-F238E27FC236}">
                <a16:creationId xmlns:a16="http://schemas.microsoft.com/office/drawing/2014/main" id="{67A2D239-BA89-4C28-9D74-02A0BBC79DF5}"/>
              </a:ext>
            </a:extLst>
          </xdr:cNvPr>
          <xdr:cNvCxnSpPr/>
        </xdr:nvCxnSpPr>
        <xdr:spPr>
          <a:xfrm flipH="1">
            <a:off x="1481138" y="119633999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9" name="Straight Connector 1768">
            <a:extLst>
              <a:ext uri="{FF2B5EF4-FFF2-40B4-BE49-F238E27FC236}">
                <a16:creationId xmlns:a16="http://schemas.microsoft.com/office/drawing/2014/main" id="{A22C4E62-FDDA-4607-9222-13E29F35A163}"/>
              </a:ext>
            </a:extLst>
          </xdr:cNvPr>
          <xdr:cNvCxnSpPr/>
        </xdr:nvCxnSpPr>
        <xdr:spPr>
          <a:xfrm>
            <a:off x="971550" y="117209887"/>
            <a:ext cx="0" cy="709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0" name="Straight Arrow Connector 1769">
            <a:extLst>
              <a:ext uri="{FF2B5EF4-FFF2-40B4-BE49-F238E27FC236}">
                <a16:creationId xmlns:a16="http://schemas.microsoft.com/office/drawing/2014/main" id="{F344B920-AC43-44EC-8D7F-9F3D6DF1D96E}"/>
              </a:ext>
            </a:extLst>
          </xdr:cNvPr>
          <xdr:cNvCxnSpPr/>
        </xdr:nvCxnSpPr>
        <xdr:spPr>
          <a:xfrm>
            <a:off x="971550" y="117205134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1" name="Straight Arrow Connector 1770">
            <a:extLst>
              <a:ext uri="{FF2B5EF4-FFF2-40B4-BE49-F238E27FC236}">
                <a16:creationId xmlns:a16="http://schemas.microsoft.com/office/drawing/2014/main" id="{83394DE9-E806-482E-937B-8C841829010A}"/>
              </a:ext>
            </a:extLst>
          </xdr:cNvPr>
          <xdr:cNvCxnSpPr/>
        </xdr:nvCxnSpPr>
        <xdr:spPr>
          <a:xfrm>
            <a:off x="971550" y="117348008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2" name="Straight Arrow Connector 1771">
            <a:extLst>
              <a:ext uri="{FF2B5EF4-FFF2-40B4-BE49-F238E27FC236}">
                <a16:creationId xmlns:a16="http://schemas.microsoft.com/office/drawing/2014/main" id="{4D36669A-A320-412E-840C-70A4717617D0}"/>
              </a:ext>
            </a:extLst>
          </xdr:cNvPr>
          <xdr:cNvCxnSpPr/>
        </xdr:nvCxnSpPr>
        <xdr:spPr>
          <a:xfrm>
            <a:off x="971549" y="117490885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3" name="Straight Arrow Connector 1772">
            <a:extLst>
              <a:ext uri="{FF2B5EF4-FFF2-40B4-BE49-F238E27FC236}">
                <a16:creationId xmlns:a16="http://schemas.microsoft.com/office/drawing/2014/main" id="{AE8FB156-2CBA-45AF-8BCF-96D64B52B6C0}"/>
              </a:ext>
            </a:extLst>
          </xdr:cNvPr>
          <xdr:cNvCxnSpPr/>
        </xdr:nvCxnSpPr>
        <xdr:spPr>
          <a:xfrm>
            <a:off x="971549" y="117633759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4" name="Straight Connector 1773">
            <a:extLst>
              <a:ext uri="{FF2B5EF4-FFF2-40B4-BE49-F238E27FC236}">
                <a16:creationId xmlns:a16="http://schemas.microsoft.com/office/drawing/2014/main" id="{00A984AA-4277-436B-808A-CB3260C61EB1}"/>
              </a:ext>
            </a:extLst>
          </xdr:cNvPr>
          <xdr:cNvCxnSpPr/>
        </xdr:nvCxnSpPr>
        <xdr:spPr>
          <a:xfrm>
            <a:off x="1171576" y="117205125"/>
            <a:ext cx="0" cy="714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5" name="Straight Arrow Connector 1774">
            <a:extLst>
              <a:ext uri="{FF2B5EF4-FFF2-40B4-BE49-F238E27FC236}">
                <a16:creationId xmlns:a16="http://schemas.microsoft.com/office/drawing/2014/main" id="{9CE1B60B-A571-4488-A357-8B35A44BFB5B}"/>
              </a:ext>
            </a:extLst>
          </xdr:cNvPr>
          <xdr:cNvCxnSpPr/>
        </xdr:nvCxnSpPr>
        <xdr:spPr>
          <a:xfrm>
            <a:off x="966788" y="117776633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6" name="Straight Arrow Connector 1775">
            <a:extLst>
              <a:ext uri="{FF2B5EF4-FFF2-40B4-BE49-F238E27FC236}">
                <a16:creationId xmlns:a16="http://schemas.microsoft.com/office/drawing/2014/main" id="{E9E8592C-CA37-43BE-9AD5-F5D48D994C24}"/>
              </a:ext>
            </a:extLst>
          </xdr:cNvPr>
          <xdr:cNvCxnSpPr/>
        </xdr:nvCxnSpPr>
        <xdr:spPr>
          <a:xfrm>
            <a:off x="966788" y="11791950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4762</xdr:colOff>
      <xdr:row>805</xdr:row>
      <xdr:rowOff>133350</xdr:rowOff>
    </xdr:from>
    <xdr:to>
      <xdr:col>63</xdr:col>
      <xdr:colOff>1</xdr:colOff>
      <xdr:row>825</xdr:row>
      <xdr:rowOff>0</xdr:rowOff>
    </xdr:to>
    <xdr:grpSp>
      <xdr:nvGrpSpPr>
        <xdr:cNvPr id="395" name="Group 394">
          <a:extLst>
            <a:ext uri="{FF2B5EF4-FFF2-40B4-BE49-F238E27FC236}">
              <a16:creationId xmlns:a16="http://schemas.microsoft.com/office/drawing/2014/main" id="{12FE571C-E7E8-CBA5-FF5F-8B96D4A15124}"/>
            </a:ext>
          </a:extLst>
        </xdr:cNvPr>
        <xdr:cNvGrpSpPr/>
      </xdr:nvGrpSpPr>
      <xdr:grpSpPr>
        <a:xfrm>
          <a:off x="6157912" y="116909850"/>
          <a:ext cx="4043364" cy="2724150"/>
          <a:chOff x="6319837" y="116909850"/>
          <a:chExt cx="4043364" cy="2724150"/>
        </a:xfrm>
      </xdr:grpSpPr>
      <xdr:sp macro="" textlink="">
        <xdr:nvSpPr>
          <xdr:cNvPr id="1764" name="Freeform: Shape 1763">
            <a:extLst>
              <a:ext uri="{FF2B5EF4-FFF2-40B4-BE49-F238E27FC236}">
                <a16:creationId xmlns:a16="http://schemas.microsoft.com/office/drawing/2014/main" id="{54FA9777-F767-4D97-A92D-CBB7952AB0B3}"/>
              </a:ext>
            </a:extLst>
          </xdr:cNvPr>
          <xdr:cNvSpPr/>
        </xdr:nvSpPr>
        <xdr:spPr>
          <a:xfrm>
            <a:off x="6319837" y="11720512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65" name="Freeform: Shape 1764">
            <a:extLst>
              <a:ext uri="{FF2B5EF4-FFF2-40B4-BE49-F238E27FC236}">
                <a16:creationId xmlns:a16="http://schemas.microsoft.com/office/drawing/2014/main" id="{34BD5528-2E3E-4255-9DD7-1CA323ECF763}"/>
              </a:ext>
            </a:extLst>
          </xdr:cNvPr>
          <xdr:cNvSpPr/>
        </xdr:nvSpPr>
        <xdr:spPr>
          <a:xfrm>
            <a:off x="9877426" y="117919502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67" name="Freeform: Shape 1766">
            <a:extLst>
              <a:ext uri="{FF2B5EF4-FFF2-40B4-BE49-F238E27FC236}">
                <a16:creationId xmlns:a16="http://schemas.microsoft.com/office/drawing/2014/main" id="{DB8D19C5-ECD4-47DF-981F-3D82B15C6A44}"/>
              </a:ext>
            </a:extLst>
          </xdr:cNvPr>
          <xdr:cNvSpPr/>
        </xdr:nvSpPr>
        <xdr:spPr>
          <a:xfrm>
            <a:off x="8091488" y="116924137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90" name="Straight Connector 1789">
            <a:extLst>
              <a:ext uri="{FF2B5EF4-FFF2-40B4-BE49-F238E27FC236}">
                <a16:creationId xmlns:a16="http://schemas.microsoft.com/office/drawing/2014/main" id="{CC0A0B26-4509-1FAC-4C11-C4D031B013AD}"/>
              </a:ext>
            </a:extLst>
          </xdr:cNvPr>
          <xdr:cNvCxnSpPr>
            <a:cxnSpLocks/>
            <a:stCxn id="1764" idx="1"/>
          </xdr:cNvCxnSpPr>
        </xdr:nvCxnSpPr>
        <xdr:spPr>
          <a:xfrm>
            <a:off x="6319837" y="117914738"/>
            <a:ext cx="161926" cy="4095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2" name="Straight Connector 1791">
            <a:extLst>
              <a:ext uri="{FF2B5EF4-FFF2-40B4-BE49-F238E27FC236}">
                <a16:creationId xmlns:a16="http://schemas.microsoft.com/office/drawing/2014/main" id="{61E266B8-CE49-BCAE-3299-36777D7B7E73}"/>
              </a:ext>
            </a:extLst>
          </xdr:cNvPr>
          <xdr:cNvCxnSpPr>
            <a:cxnSpLocks/>
            <a:endCxn id="1764" idx="2"/>
          </xdr:cNvCxnSpPr>
        </xdr:nvCxnSpPr>
        <xdr:spPr>
          <a:xfrm>
            <a:off x="7981951" y="116914612"/>
            <a:ext cx="119056" cy="2905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93" name="Freeform: Shape 1792">
            <a:extLst>
              <a:ext uri="{FF2B5EF4-FFF2-40B4-BE49-F238E27FC236}">
                <a16:creationId xmlns:a16="http://schemas.microsoft.com/office/drawing/2014/main" id="{E9C42D1E-36BE-1E45-41DB-2B63ACBE79D0}"/>
              </a:ext>
            </a:extLst>
          </xdr:cNvPr>
          <xdr:cNvSpPr/>
        </xdr:nvSpPr>
        <xdr:spPr>
          <a:xfrm>
            <a:off x="6481763" y="116909850"/>
            <a:ext cx="1500187" cy="1414463"/>
          </a:xfrm>
          <a:custGeom>
            <a:avLst/>
            <a:gdLst>
              <a:gd name="connsiteX0" fmla="*/ 0 w 1500187"/>
              <a:gd name="connsiteY0" fmla="*/ 1414463 h 1414463"/>
              <a:gd name="connsiteX1" fmla="*/ 928687 w 1500187"/>
              <a:gd name="connsiteY1" fmla="*/ 838200 h 1414463"/>
              <a:gd name="connsiteX2" fmla="*/ 1500187 w 1500187"/>
              <a:gd name="connsiteY2" fmla="*/ 0 h 14144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500187" h="1414463">
                <a:moveTo>
                  <a:pt x="0" y="1414463"/>
                </a:moveTo>
                <a:cubicBezTo>
                  <a:pt x="339328" y="1244203"/>
                  <a:pt x="678656" y="1073944"/>
                  <a:pt x="928687" y="838200"/>
                </a:cubicBezTo>
                <a:cubicBezTo>
                  <a:pt x="1178718" y="602456"/>
                  <a:pt x="1339452" y="301228"/>
                  <a:pt x="1500187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94" name="Freeform: Shape 1793">
            <a:extLst>
              <a:ext uri="{FF2B5EF4-FFF2-40B4-BE49-F238E27FC236}">
                <a16:creationId xmlns:a16="http://schemas.microsoft.com/office/drawing/2014/main" id="{878617E5-5374-0DA0-7ED5-504D8E254D81}"/>
              </a:ext>
            </a:extLst>
          </xdr:cNvPr>
          <xdr:cNvSpPr/>
        </xdr:nvSpPr>
        <xdr:spPr>
          <a:xfrm>
            <a:off x="6324599" y="117914737"/>
            <a:ext cx="495300" cy="1700213"/>
          </a:xfrm>
          <a:custGeom>
            <a:avLst/>
            <a:gdLst>
              <a:gd name="connsiteX0" fmla="*/ 4763 w 495300"/>
              <a:gd name="connsiteY0" fmla="*/ 0 h 1700213"/>
              <a:gd name="connsiteX1" fmla="*/ 495300 w 495300"/>
              <a:gd name="connsiteY1" fmla="*/ 0 h 1700213"/>
              <a:gd name="connsiteX2" fmla="*/ 0 w 495300"/>
              <a:gd name="connsiteY2" fmla="*/ 1700213 h 1700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00213">
                <a:moveTo>
                  <a:pt x="4763" y="0"/>
                </a:moveTo>
                <a:lnTo>
                  <a:pt x="495300" y="0"/>
                </a:lnTo>
                <a:lnTo>
                  <a:pt x="0" y="17002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34</xdr:col>
      <xdr:colOff>157163</xdr:colOff>
      <xdr:row>832</xdr:row>
      <xdr:rowOff>128588</xdr:rowOff>
    </xdr:from>
    <xdr:to>
      <xdr:col>63</xdr:col>
      <xdr:colOff>0</xdr:colOff>
      <xdr:row>852</xdr:row>
      <xdr:rowOff>1</xdr:rowOff>
    </xdr:to>
    <xdr:grpSp>
      <xdr:nvGrpSpPr>
        <xdr:cNvPr id="507" name="Group 506">
          <a:extLst>
            <a:ext uri="{FF2B5EF4-FFF2-40B4-BE49-F238E27FC236}">
              <a16:creationId xmlns:a16="http://schemas.microsoft.com/office/drawing/2014/main" id="{4F772236-3480-B4A0-AF95-AFA30BAFE341}"/>
            </a:ext>
          </a:extLst>
        </xdr:cNvPr>
        <xdr:cNvGrpSpPr/>
      </xdr:nvGrpSpPr>
      <xdr:grpSpPr>
        <a:xfrm>
          <a:off x="5662613" y="120762713"/>
          <a:ext cx="4538662" cy="2728913"/>
          <a:chOff x="5662613" y="120762713"/>
          <a:chExt cx="4538662" cy="2728913"/>
        </a:xfrm>
      </xdr:grpSpPr>
      <xdr:sp macro="" textlink="">
        <xdr:nvSpPr>
          <xdr:cNvPr id="1818" name="Freeform: Shape 1817">
            <a:extLst>
              <a:ext uri="{FF2B5EF4-FFF2-40B4-BE49-F238E27FC236}">
                <a16:creationId xmlns:a16="http://schemas.microsoft.com/office/drawing/2014/main" id="{AE59FF5D-0AF2-4471-8165-659198615845}"/>
              </a:ext>
            </a:extLst>
          </xdr:cNvPr>
          <xdr:cNvSpPr/>
        </xdr:nvSpPr>
        <xdr:spPr>
          <a:xfrm>
            <a:off x="6157912" y="12106275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20" name="Freeform: Shape 1819">
            <a:extLst>
              <a:ext uri="{FF2B5EF4-FFF2-40B4-BE49-F238E27FC236}">
                <a16:creationId xmlns:a16="http://schemas.microsoft.com/office/drawing/2014/main" id="{9BC9100F-4AD1-42D4-A73F-C7ECAA26D43B}"/>
              </a:ext>
            </a:extLst>
          </xdr:cNvPr>
          <xdr:cNvSpPr/>
        </xdr:nvSpPr>
        <xdr:spPr>
          <a:xfrm>
            <a:off x="9715500" y="121781888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26" name="Straight Connector 1825">
            <a:extLst>
              <a:ext uri="{FF2B5EF4-FFF2-40B4-BE49-F238E27FC236}">
                <a16:creationId xmlns:a16="http://schemas.microsoft.com/office/drawing/2014/main" id="{FD643D9B-884E-4371-81E2-5724EFAC10B5}"/>
              </a:ext>
            </a:extLst>
          </xdr:cNvPr>
          <xdr:cNvCxnSpPr/>
        </xdr:nvCxnSpPr>
        <xdr:spPr>
          <a:xfrm>
            <a:off x="6157912" y="122348624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1827" name="Freeform: Shape 1826">
            <a:extLst>
              <a:ext uri="{FF2B5EF4-FFF2-40B4-BE49-F238E27FC236}">
                <a16:creationId xmlns:a16="http://schemas.microsoft.com/office/drawing/2014/main" id="{774B7DB6-CF18-95BF-C70C-6102EE6EC251}"/>
              </a:ext>
            </a:extLst>
          </xdr:cNvPr>
          <xdr:cNvSpPr/>
        </xdr:nvSpPr>
        <xdr:spPr>
          <a:xfrm>
            <a:off x="5662613" y="121781889"/>
            <a:ext cx="1133475" cy="1709737"/>
          </a:xfrm>
          <a:custGeom>
            <a:avLst/>
            <a:gdLst>
              <a:gd name="connsiteX0" fmla="*/ 500062 w 1133475"/>
              <a:gd name="connsiteY0" fmla="*/ 1709737 h 1709737"/>
              <a:gd name="connsiteX1" fmla="*/ 0 w 1133475"/>
              <a:gd name="connsiteY1" fmla="*/ 561975 h 1709737"/>
              <a:gd name="connsiteX2" fmla="*/ 1133475 w 1133475"/>
              <a:gd name="connsiteY2" fmla="*/ 561975 h 1709737"/>
              <a:gd name="connsiteX3" fmla="*/ 971550 w 1133475"/>
              <a:gd name="connsiteY3" fmla="*/ 0 h 1709737"/>
              <a:gd name="connsiteX4" fmla="*/ 495300 w 1133475"/>
              <a:gd name="connsiteY4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33475" h="1709737">
                <a:moveTo>
                  <a:pt x="500062" y="1709737"/>
                </a:moveTo>
                <a:lnTo>
                  <a:pt x="0" y="561975"/>
                </a:lnTo>
                <a:lnTo>
                  <a:pt x="1133475" y="561975"/>
                </a:lnTo>
                <a:lnTo>
                  <a:pt x="971550" y="0"/>
                </a:lnTo>
                <a:lnTo>
                  <a:pt x="495300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28" name="Freeform: Shape 1827">
            <a:extLst>
              <a:ext uri="{FF2B5EF4-FFF2-40B4-BE49-F238E27FC236}">
                <a16:creationId xmlns:a16="http://schemas.microsoft.com/office/drawing/2014/main" id="{F1867B5A-2CE0-4244-90EE-800FAEA45036}"/>
              </a:ext>
            </a:extLst>
          </xdr:cNvPr>
          <xdr:cNvSpPr/>
        </xdr:nvSpPr>
        <xdr:spPr>
          <a:xfrm>
            <a:off x="6157913" y="120762713"/>
            <a:ext cx="1776413" cy="1409700"/>
          </a:xfrm>
          <a:custGeom>
            <a:avLst/>
            <a:gdLst>
              <a:gd name="connsiteX0" fmla="*/ 0 w 1776413"/>
              <a:gd name="connsiteY0" fmla="*/ 1000125 h 1409700"/>
              <a:gd name="connsiteX1" fmla="*/ 161925 w 1776413"/>
              <a:gd name="connsiteY1" fmla="*/ 1409700 h 1409700"/>
              <a:gd name="connsiteX2" fmla="*/ 1662113 w 1776413"/>
              <a:gd name="connsiteY2" fmla="*/ 0 h 1409700"/>
              <a:gd name="connsiteX3" fmla="*/ 1776413 w 1776413"/>
              <a:gd name="connsiteY3" fmla="*/ 290513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76413" h="1409700">
                <a:moveTo>
                  <a:pt x="0" y="1000125"/>
                </a:moveTo>
                <a:lnTo>
                  <a:pt x="161925" y="1409700"/>
                </a:lnTo>
                <a:lnTo>
                  <a:pt x="1662113" y="0"/>
                </a:lnTo>
                <a:lnTo>
                  <a:pt x="1776413" y="2905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29" name="Freeform: Shape 1828">
            <a:extLst>
              <a:ext uri="{FF2B5EF4-FFF2-40B4-BE49-F238E27FC236}">
                <a16:creationId xmlns:a16="http://schemas.microsoft.com/office/drawing/2014/main" id="{7EA0A16F-C946-447D-92F8-9711C27EFBF3}"/>
              </a:ext>
            </a:extLst>
          </xdr:cNvPr>
          <xdr:cNvSpPr/>
        </xdr:nvSpPr>
        <xdr:spPr>
          <a:xfrm>
            <a:off x="7934325" y="120777000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834</xdr:row>
      <xdr:rowOff>76200</xdr:rowOff>
    </xdr:from>
    <xdr:to>
      <xdr:col>32</xdr:col>
      <xdr:colOff>4762</xdr:colOff>
      <xdr:row>858</xdr:row>
      <xdr:rowOff>66675</xdr:rowOff>
    </xdr:to>
    <xdr:grpSp>
      <xdr:nvGrpSpPr>
        <xdr:cNvPr id="505" name="Group 504">
          <a:extLst>
            <a:ext uri="{FF2B5EF4-FFF2-40B4-BE49-F238E27FC236}">
              <a16:creationId xmlns:a16="http://schemas.microsoft.com/office/drawing/2014/main" id="{66E16DA7-88C9-4D79-F133-1E9E3A06F4B9}"/>
            </a:ext>
          </a:extLst>
        </xdr:cNvPr>
        <xdr:cNvGrpSpPr/>
      </xdr:nvGrpSpPr>
      <xdr:grpSpPr>
        <a:xfrm>
          <a:off x="404814" y="120996075"/>
          <a:ext cx="4781548" cy="3419475"/>
          <a:chOff x="404814" y="120996075"/>
          <a:chExt cx="4781548" cy="3419475"/>
        </a:xfrm>
      </xdr:grpSpPr>
      <xdr:sp macro="" textlink="">
        <xdr:nvSpPr>
          <xdr:cNvPr id="1795" name="Freeform: Shape 1794">
            <a:extLst>
              <a:ext uri="{FF2B5EF4-FFF2-40B4-BE49-F238E27FC236}">
                <a16:creationId xmlns:a16="http://schemas.microsoft.com/office/drawing/2014/main" id="{3ED0FFC7-652F-444D-BCA3-59EC0BDAD9CF}"/>
              </a:ext>
            </a:extLst>
          </xdr:cNvPr>
          <xdr:cNvSpPr/>
        </xdr:nvSpPr>
        <xdr:spPr>
          <a:xfrm>
            <a:off x="1138237" y="12106751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CEFBEBF6-5E87-412C-8491-18EF96E3ED61}"/>
              </a:ext>
            </a:extLst>
          </xdr:cNvPr>
          <xdr:cNvSpPr/>
        </xdr:nvSpPr>
        <xdr:spPr>
          <a:xfrm>
            <a:off x="976313" y="1234963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97" name="Oval 1796">
            <a:extLst>
              <a:ext uri="{FF2B5EF4-FFF2-40B4-BE49-F238E27FC236}">
                <a16:creationId xmlns:a16="http://schemas.microsoft.com/office/drawing/2014/main" id="{80DD7941-BF60-41F5-B3A5-FF1A75E2614D}"/>
              </a:ext>
            </a:extLst>
          </xdr:cNvPr>
          <xdr:cNvSpPr/>
        </xdr:nvSpPr>
        <xdr:spPr>
          <a:xfrm>
            <a:off x="1081089" y="1233820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98" name="Oval 1797">
            <a:extLst>
              <a:ext uri="{FF2B5EF4-FFF2-40B4-BE49-F238E27FC236}">
                <a16:creationId xmlns:a16="http://schemas.microsoft.com/office/drawing/2014/main" id="{B057CC68-1871-494A-A61E-A40512AF765A}"/>
              </a:ext>
            </a:extLst>
          </xdr:cNvPr>
          <xdr:cNvSpPr/>
        </xdr:nvSpPr>
        <xdr:spPr>
          <a:xfrm>
            <a:off x="4643439" y="123386846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99" name="Straight Connector 1798">
            <a:extLst>
              <a:ext uri="{FF2B5EF4-FFF2-40B4-BE49-F238E27FC236}">
                <a16:creationId xmlns:a16="http://schemas.microsoft.com/office/drawing/2014/main" id="{55A9C7A0-D9BD-4E12-B73B-F64F2D65A9DA}"/>
              </a:ext>
            </a:extLst>
          </xdr:cNvPr>
          <xdr:cNvCxnSpPr/>
        </xdr:nvCxnSpPr>
        <xdr:spPr>
          <a:xfrm>
            <a:off x="971550" y="1234916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37BC098B-E1CC-458C-B874-3DEF98B24E96}"/>
              </a:ext>
            </a:extLst>
          </xdr:cNvPr>
          <xdr:cNvSpPr/>
        </xdr:nvSpPr>
        <xdr:spPr>
          <a:xfrm>
            <a:off x="4538663" y="1235011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01" name="Straight Connector 1800">
            <a:extLst>
              <a:ext uri="{FF2B5EF4-FFF2-40B4-BE49-F238E27FC236}">
                <a16:creationId xmlns:a16="http://schemas.microsoft.com/office/drawing/2014/main" id="{33C43FF2-F6CA-41A5-B937-42DEB4A0F8A6}"/>
              </a:ext>
            </a:extLst>
          </xdr:cNvPr>
          <xdr:cNvCxnSpPr/>
        </xdr:nvCxnSpPr>
        <xdr:spPr>
          <a:xfrm>
            <a:off x="4533900" y="1234963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2" name="Straight Connector 1801">
            <a:extLst>
              <a:ext uri="{FF2B5EF4-FFF2-40B4-BE49-F238E27FC236}">
                <a16:creationId xmlns:a16="http://schemas.microsoft.com/office/drawing/2014/main" id="{ACF5D096-FCEB-4507-99E5-1FF75D9E609E}"/>
              </a:ext>
            </a:extLst>
          </xdr:cNvPr>
          <xdr:cNvCxnSpPr/>
        </xdr:nvCxnSpPr>
        <xdr:spPr>
          <a:xfrm>
            <a:off x="404814" y="1234916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3" name="Straight Connector 1802">
            <a:extLst>
              <a:ext uri="{FF2B5EF4-FFF2-40B4-BE49-F238E27FC236}">
                <a16:creationId xmlns:a16="http://schemas.microsoft.com/office/drawing/2014/main" id="{859C51AC-BB90-4DD4-9EFF-143677205ACB}"/>
              </a:ext>
            </a:extLst>
          </xdr:cNvPr>
          <xdr:cNvCxnSpPr/>
        </xdr:nvCxnSpPr>
        <xdr:spPr>
          <a:xfrm flipH="1">
            <a:off x="447676" y="1234535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4" name="Straight Arrow Connector 1803">
            <a:extLst>
              <a:ext uri="{FF2B5EF4-FFF2-40B4-BE49-F238E27FC236}">
                <a16:creationId xmlns:a16="http://schemas.microsoft.com/office/drawing/2014/main" id="{BFB419AA-D35A-4DE2-A2E1-4F71F58B5873}"/>
              </a:ext>
            </a:extLst>
          </xdr:cNvPr>
          <xdr:cNvCxnSpPr/>
        </xdr:nvCxnSpPr>
        <xdr:spPr>
          <a:xfrm flipV="1">
            <a:off x="1133475" y="1236154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5" name="Straight Arrow Connector 1804">
            <a:extLst>
              <a:ext uri="{FF2B5EF4-FFF2-40B4-BE49-F238E27FC236}">
                <a16:creationId xmlns:a16="http://schemas.microsoft.com/office/drawing/2014/main" id="{80FFE570-00DF-49AE-90D2-75632755A9E6}"/>
              </a:ext>
            </a:extLst>
          </xdr:cNvPr>
          <xdr:cNvCxnSpPr/>
        </xdr:nvCxnSpPr>
        <xdr:spPr>
          <a:xfrm flipV="1">
            <a:off x="4695825" y="1236154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6" name="Straight Arrow Connector 1805">
            <a:extLst>
              <a:ext uri="{FF2B5EF4-FFF2-40B4-BE49-F238E27FC236}">
                <a16:creationId xmlns:a16="http://schemas.microsoft.com/office/drawing/2014/main" id="{64FF5897-1FDE-477F-84C4-A3ED6C2A6FC1}"/>
              </a:ext>
            </a:extLst>
          </xdr:cNvPr>
          <xdr:cNvCxnSpPr/>
        </xdr:nvCxnSpPr>
        <xdr:spPr>
          <a:xfrm>
            <a:off x="661988" y="1234916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7" name="Straight Arrow Connector 1806">
            <a:extLst>
              <a:ext uri="{FF2B5EF4-FFF2-40B4-BE49-F238E27FC236}">
                <a16:creationId xmlns:a16="http://schemas.microsoft.com/office/drawing/2014/main" id="{9A7E6F82-DDEC-4966-A256-BE6F0F7E731F}"/>
              </a:ext>
            </a:extLst>
          </xdr:cNvPr>
          <xdr:cNvCxnSpPr/>
        </xdr:nvCxnSpPr>
        <xdr:spPr>
          <a:xfrm flipH="1">
            <a:off x="4876799" y="1234916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8" name="Straight Connector 1807">
            <a:extLst>
              <a:ext uri="{FF2B5EF4-FFF2-40B4-BE49-F238E27FC236}">
                <a16:creationId xmlns:a16="http://schemas.microsoft.com/office/drawing/2014/main" id="{84B7F955-59D2-417A-8A82-850DA67DFA36}"/>
              </a:ext>
            </a:extLst>
          </xdr:cNvPr>
          <xdr:cNvCxnSpPr/>
        </xdr:nvCxnSpPr>
        <xdr:spPr>
          <a:xfrm flipV="1">
            <a:off x="485775" y="12099607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9" name="Straight Connector 1808">
            <a:extLst>
              <a:ext uri="{FF2B5EF4-FFF2-40B4-BE49-F238E27FC236}">
                <a16:creationId xmlns:a16="http://schemas.microsoft.com/office/drawing/2014/main" id="{B1A529C7-D520-472D-A198-526F4F46A160}"/>
              </a:ext>
            </a:extLst>
          </xdr:cNvPr>
          <xdr:cNvCxnSpPr/>
        </xdr:nvCxnSpPr>
        <xdr:spPr>
          <a:xfrm>
            <a:off x="419100" y="121062751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0" name="Straight Connector 1809">
            <a:extLst>
              <a:ext uri="{FF2B5EF4-FFF2-40B4-BE49-F238E27FC236}">
                <a16:creationId xmlns:a16="http://schemas.microsoft.com/office/drawing/2014/main" id="{797C2933-AF28-4DAE-B282-C0FD13E5B6F2}"/>
              </a:ext>
            </a:extLst>
          </xdr:cNvPr>
          <xdr:cNvCxnSpPr/>
        </xdr:nvCxnSpPr>
        <xdr:spPr>
          <a:xfrm flipH="1">
            <a:off x="452438" y="1210341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1" name="Straight Connector 1810">
            <a:extLst>
              <a:ext uri="{FF2B5EF4-FFF2-40B4-BE49-F238E27FC236}">
                <a16:creationId xmlns:a16="http://schemas.microsoft.com/office/drawing/2014/main" id="{261CF171-D96F-493E-B977-A495D47E6789}"/>
              </a:ext>
            </a:extLst>
          </xdr:cNvPr>
          <xdr:cNvCxnSpPr/>
        </xdr:nvCxnSpPr>
        <xdr:spPr>
          <a:xfrm>
            <a:off x="419100" y="121777126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2" name="Straight Connector 1811">
            <a:extLst>
              <a:ext uri="{FF2B5EF4-FFF2-40B4-BE49-F238E27FC236}">
                <a16:creationId xmlns:a16="http://schemas.microsoft.com/office/drawing/2014/main" id="{E473A243-E9DE-4C89-B362-23BB8A081E97}"/>
              </a:ext>
            </a:extLst>
          </xdr:cNvPr>
          <xdr:cNvCxnSpPr/>
        </xdr:nvCxnSpPr>
        <xdr:spPr>
          <a:xfrm flipH="1">
            <a:off x="452438" y="1217485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3" name="Straight Connector 1812">
            <a:extLst>
              <a:ext uri="{FF2B5EF4-FFF2-40B4-BE49-F238E27FC236}">
                <a16:creationId xmlns:a16="http://schemas.microsoft.com/office/drawing/2014/main" id="{C63A0537-3D9C-4322-AE8A-65E58C9DD9E3}"/>
              </a:ext>
            </a:extLst>
          </xdr:cNvPr>
          <xdr:cNvCxnSpPr/>
        </xdr:nvCxnSpPr>
        <xdr:spPr>
          <a:xfrm>
            <a:off x="1133475" y="1241155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4" name="Straight Connector 1813">
            <a:extLst>
              <a:ext uri="{FF2B5EF4-FFF2-40B4-BE49-F238E27FC236}">
                <a16:creationId xmlns:a16="http://schemas.microsoft.com/office/drawing/2014/main" id="{97F7F5D5-417B-4E9F-B227-A316D1FD7F05}"/>
              </a:ext>
            </a:extLst>
          </xdr:cNvPr>
          <xdr:cNvCxnSpPr/>
        </xdr:nvCxnSpPr>
        <xdr:spPr>
          <a:xfrm>
            <a:off x="1052514" y="12434887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5" name="Straight Connector 1814">
            <a:extLst>
              <a:ext uri="{FF2B5EF4-FFF2-40B4-BE49-F238E27FC236}">
                <a16:creationId xmlns:a16="http://schemas.microsoft.com/office/drawing/2014/main" id="{C4133C0F-1F86-48C3-9096-236EB5F2A04A}"/>
              </a:ext>
            </a:extLst>
          </xdr:cNvPr>
          <xdr:cNvCxnSpPr/>
        </xdr:nvCxnSpPr>
        <xdr:spPr>
          <a:xfrm flipH="1">
            <a:off x="1095377" y="1243107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6" name="Straight Connector 1815">
            <a:extLst>
              <a:ext uri="{FF2B5EF4-FFF2-40B4-BE49-F238E27FC236}">
                <a16:creationId xmlns:a16="http://schemas.microsoft.com/office/drawing/2014/main" id="{419CE03C-EFC7-4D12-B18E-E2CECE3A9627}"/>
              </a:ext>
            </a:extLst>
          </xdr:cNvPr>
          <xdr:cNvCxnSpPr/>
        </xdr:nvCxnSpPr>
        <xdr:spPr>
          <a:xfrm>
            <a:off x="4695841" y="1241298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7" name="Straight Connector 1816">
            <a:extLst>
              <a:ext uri="{FF2B5EF4-FFF2-40B4-BE49-F238E27FC236}">
                <a16:creationId xmlns:a16="http://schemas.microsoft.com/office/drawing/2014/main" id="{517388E0-810F-4BDE-9506-D831A4FE2FAE}"/>
              </a:ext>
            </a:extLst>
          </xdr:cNvPr>
          <xdr:cNvCxnSpPr/>
        </xdr:nvCxnSpPr>
        <xdr:spPr>
          <a:xfrm flipH="1">
            <a:off x="4657743" y="1243107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2" name="Straight Arrow Connector 1821">
            <a:extLst>
              <a:ext uri="{FF2B5EF4-FFF2-40B4-BE49-F238E27FC236}">
                <a16:creationId xmlns:a16="http://schemas.microsoft.com/office/drawing/2014/main" id="{461AFB40-E31C-4132-85CE-ADB55EAA04E6}"/>
              </a:ext>
            </a:extLst>
          </xdr:cNvPr>
          <xdr:cNvCxnSpPr/>
        </xdr:nvCxnSpPr>
        <xdr:spPr>
          <a:xfrm>
            <a:off x="1462088" y="122210513"/>
            <a:ext cx="0" cy="3048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4" name="Straight Connector 1823">
            <a:extLst>
              <a:ext uri="{FF2B5EF4-FFF2-40B4-BE49-F238E27FC236}">
                <a16:creationId xmlns:a16="http://schemas.microsoft.com/office/drawing/2014/main" id="{17EC5536-91E3-4E7D-BAF2-D574F930A3D9}"/>
              </a:ext>
            </a:extLst>
          </xdr:cNvPr>
          <xdr:cNvCxnSpPr/>
        </xdr:nvCxnSpPr>
        <xdr:spPr>
          <a:xfrm>
            <a:off x="1143000" y="122343863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830" name="Straight Connector 1829">
            <a:extLst>
              <a:ext uri="{FF2B5EF4-FFF2-40B4-BE49-F238E27FC236}">
                <a16:creationId xmlns:a16="http://schemas.microsoft.com/office/drawing/2014/main" id="{D860476C-7D77-4EF0-B3CA-3A5CE25D9E7A}"/>
              </a:ext>
            </a:extLst>
          </xdr:cNvPr>
          <xdr:cNvCxnSpPr/>
        </xdr:nvCxnSpPr>
        <xdr:spPr>
          <a:xfrm>
            <a:off x="809627" y="121696160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1" name="Straight Connector 1830">
            <a:extLst>
              <a:ext uri="{FF2B5EF4-FFF2-40B4-BE49-F238E27FC236}">
                <a16:creationId xmlns:a16="http://schemas.microsoft.com/office/drawing/2014/main" id="{1354321E-EC1B-42A2-9005-F6B8ED685054}"/>
              </a:ext>
            </a:extLst>
          </xdr:cNvPr>
          <xdr:cNvCxnSpPr/>
        </xdr:nvCxnSpPr>
        <xdr:spPr>
          <a:xfrm flipH="1">
            <a:off x="771527" y="1217390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2" name="Straight Connector 1831">
            <a:extLst>
              <a:ext uri="{FF2B5EF4-FFF2-40B4-BE49-F238E27FC236}">
                <a16:creationId xmlns:a16="http://schemas.microsoft.com/office/drawing/2014/main" id="{6D34E5E0-C42F-4222-8751-861C1DCB8E4C}"/>
              </a:ext>
            </a:extLst>
          </xdr:cNvPr>
          <xdr:cNvCxnSpPr/>
        </xdr:nvCxnSpPr>
        <xdr:spPr>
          <a:xfrm flipH="1">
            <a:off x="771526" y="123453517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3" name="Straight Connector 1832">
            <a:extLst>
              <a:ext uri="{FF2B5EF4-FFF2-40B4-BE49-F238E27FC236}">
                <a16:creationId xmlns:a16="http://schemas.microsoft.com/office/drawing/2014/main" id="{DB7F72B8-8F7E-42B4-A6AC-AD9784BB8878}"/>
              </a:ext>
            </a:extLst>
          </xdr:cNvPr>
          <xdr:cNvCxnSpPr/>
        </xdr:nvCxnSpPr>
        <xdr:spPr>
          <a:xfrm flipH="1">
            <a:off x="771527" y="12231052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4" name="Straight Connector 1833">
            <a:extLst>
              <a:ext uri="{FF2B5EF4-FFF2-40B4-BE49-F238E27FC236}">
                <a16:creationId xmlns:a16="http://schemas.microsoft.com/office/drawing/2014/main" id="{717ED173-1942-4F56-B02A-4C153B3561BA}"/>
              </a:ext>
            </a:extLst>
          </xdr:cNvPr>
          <xdr:cNvCxnSpPr/>
        </xdr:nvCxnSpPr>
        <xdr:spPr>
          <a:xfrm>
            <a:off x="714376" y="122348622"/>
            <a:ext cx="328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7" name="Straight Connector 1836">
            <a:extLst>
              <a:ext uri="{FF2B5EF4-FFF2-40B4-BE49-F238E27FC236}">
                <a16:creationId xmlns:a16="http://schemas.microsoft.com/office/drawing/2014/main" id="{BD88A2D8-0C4D-4325-ADE5-7457C1270B04}"/>
              </a:ext>
            </a:extLst>
          </xdr:cNvPr>
          <xdr:cNvCxnSpPr/>
        </xdr:nvCxnSpPr>
        <xdr:spPr>
          <a:xfrm>
            <a:off x="1133474" y="121286588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8" name="Straight Connector 1837">
            <a:extLst>
              <a:ext uri="{FF2B5EF4-FFF2-40B4-BE49-F238E27FC236}">
                <a16:creationId xmlns:a16="http://schemas.microsoft.com/office/drawing/2014/main" id="{5F3F57E9-9D9A-4204-AC70-F4FC74296169}"/>
              </a:ext>
            </a:extLst>
          </xdr:cNvPr>
          <xdr:cNvCxnSpPr/>
        </xdr:nvCxnSpPr>
        <xdr:spPr>
          <a:xfrm>
            <a:off x="1066799" y="121348500"/>
            <a:ext cx="457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9" name="Straight Connector 1838">
            <a:extLst>
              <a:ext uri="{FF2B5EF4-FFF2-40B4-BE49-F238E27FC236}">
                <a16:creationId xmlns:a16="http://schemas.microsoft.com/office/drawing/2014/main" id="{EF5F9125-5B05-46DE-92CF-6D7A8A28522D}"/>
              </a:ext>
            </a:extLst>
          </xdr:cNvPr>
          <xdr:cNvCxnSpPr/>
        </xdr:nvCxnSpPr>
        <xdr:spPr>
          <a:xfrm flipH="1">
            <a:off x="1095378" y="1213104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0" name="Straight Connector 1839">
            <a:extLst>
              <a:ext uri="{FF2B5EF4-FFF2-40B4-BE49-F238E27FC236}">
                <a16:creationId xmlns:a16="http://schemas.microsoft.com/office/drawing/2014/main" id="{3B3C88AA-770D-43B2-BD72-F2EA555BEF8F}"/>
              </a:ext>
            </a:extLst>
          </xdr:cNvPr>
          <xdr:cNvCxnSpPr/>
        </xdr:nvCxnSpPr>
        <xdr:spPr>
          <a:xfrm>
            <a:off x="1457327" y="121286585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1" name="Straight Connector 1840">
            <a:extLst>
              <a:ext uri="{FF2B5EF4-FFF2-40B4-BE49-F238E27FC236}">
                <a16:creationId xmlns:a16="http://schemas.microsoft.com/office/drawing/2014/main" id="{849BDD20-479E-4951-9135-6D22137A320C}"/>
              </a:ext>
            </a:extLst>
          </xdr:cNvPr>
          <xdr:cNvCxnSpPr/>
        </xdr:nvCxnSpPr>
        <xdr:spPr>
          <a:xfrm flipH="1">
            <a:off x="1419231" y="12131039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157163</xdr:colOff>
      <xdr:row>864</xdr:row>
      <xdr:rowOff>76196</xdr:rowOff>
    </xdr:from>
    <xdr:to>
      <xdr:col>63</xdr:col>
      <xdr:colOff>0</xdr:colOff>
      <xdr:row>883</xdr:row>
      <xdr:rowOff>1</xdr:rowOff>
    </xdr:to>
    <xdr:grpSp>
      <xdr:nvGrpSpPr>
        <xdr:cNvPr id="399" name="Group 398">
          <a:extLst>
            <a:ext uri="{FF2B5EF4-FFF2-40B4-BE49-F238E27FC236}">
              <a16:creationId xmlns:a16="http://schemas.microsoft.com/office/drawing/2014/main" id="{3DE4FA94-D373-78E7-9B12-2A25F3190FDC}"/>
            </a:ext>
          </a:extLst>
        </xdr:cNvPr>
        <xdr:cNvGrpSpPr/>
      </xdr:nvGrpSpPr>
      <xdr:grpSpPr>
        <a:xfrm>
          <a:off x="5500688" y="125720471"/>
          <a:ext cx="4700587" cy="2638430"/>
          <a:chOff x="5662613" y="125720471"/>
          <a:chExt cx="4700587" cy="2638430"/>
        </a:xfrm>
      </xdr:grpSpPr>
      <xdr:sp macro="" textlink="">
        <xdr:nvSpPr>
          <xdr:cNvPr id="1890" name="Freeform: Shape 1889">
            <a:extLst>
              <a:ext uri="{FF2B5EF4-FFF2-40B4-BE49-F238E27FC236}">
                <a16:creationId xmlns:a16="http://schemas.microsoft.com/office/drawing/2014/main" id="{8BF45090-95B8-4D87-A337-5B94FD51ADF2}"/>
              </a:ext>
            </a:extLst>
          </xdr:cNvPr>
          <xdr:cNvSpPr/>
        </xdr:nvSpPr>
        <xdr:spPr>
          <a:xfrm>
            <a:off x="6319837" y="12593002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92" name="Straight Connector 1891">
            <a:extLst>
              <a:ext uri="{FF2B5EF4-FFF2-40B4-BE49-F238E27FC236}">
                <a16:creationId xmlns:a16="http://schemas.microsoft.com/office/drawing/2014/main" id="{83CDE128-63BA-4E8F-A5C3-02E319EBECDB}"/>
              </a:ext>
            </a:extLst>
          </xdr:cNvPr>
          <xdr:cNvCxnSpPr/>
        </xdr:nvCxnSpPr>
        <xdr:spPr>
          <a:xfrm flipH="1" flipV="1">
            <a:off x="6161434" y="126219166"/>
            <a:ext cx="166034" cy="41094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3" name="Straight Connector 1892">
            <a:extLst>
              <a:ext uri="{FF2B5EF4-FFF2-40B4-BE49-F238E27FC236}">
                <a16:creationId xmlns:a16="http://schemas.microsoft.com/office/drawing/2014/main" id="{AF3185FE-AA6F-4CCB-A222-DB62A3B33561}"/>
              </a:ext>
            </a:extLst>
          </xdr:cNvPr>
          <xdr:cNvCxnSpPr/>
        </xdr:nvCxnSpPr>
        <xdr:spPr>
          <a:xfrm flipH="1" flipV="1">
            <a:off x="8106432" y="125930025"/>
            <a:ext cx="116516" cy="28838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4" name="Straight Connector 1893">
            <a:extLst>
              <a:ext uri="{FF2B5EF4-FFF2-40B4-BE49-F238E27FC236}">
                <a16:creationId xmlns:a16="http://schemas.microsoft.com/office/drawing/2014/main" id="{59D68E8E-5B2A-4117-A363-F74BF8D1E9D1}"/>
              </a:ext>
            </a:extLst>
          </xdr:cNvPr>
          <xdr:cNvCxnSpPr/>
        </xdr:nvCxnSpPr>
        <xdr:spPr>
          <a:xfrm flipH="1" flipV="1">
            <a:off x="7583583" y="126130329"/>
            <a:ext cx="223092" cy="55217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95" name="Freeform: Shape 1894">
            <a:extLst>
              <a:ext uri="{FF2B5EF4-FFF2-40B4-BE49-F238E27FC236}">
                <a16:creationId xmlns:a16="http://schemas.microsoft.com/office/drawing/2014/main" id="{559C6326-BA01-4480-A351-7482B7C4B0D6}"/>
              </a:ext>
            </a:extLst>
          </xdr:cNvPr>
          <xdr:cNvSpPr/>
        </xdr:nvSpPr>
        <xdr:spPr>
          <a:xfrm>
            <a:off x="6153150" y="126211013"/>
            <a:ext cx="2066925" cy="500063"/>
          </a:xfrm>
          <a:custGeom>
            <a:avLst/>
            <a:gdLst>
              <a:gd name="connsiteX0" fmla="*/ 0 w 2066925"/>
              <a:gd name="connsiteY0" fmla="*/ 4762 h 500063"/>
              <a:gd name="connsiteX1" fmla="*/ 1476375 w 2066925"/>
              <a:gd name="connsiteY1" fmla="*/ 500062 h 500063"/>
              <a:gd name="connsiteX2" fmla="*/ 2066925 w 2066925"/>
              <a:gd name="connsiteY2" fmla="*/ 0 h 5000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66925" h="500063">
                <a:moveTo>
                  <a:pt x="0" y="4762"/>
                </a:moveTo>
                <a:cubicBezTo>
                  <a:pt x="565944" y="252809"/>
                  <a:pt x="1131888" y="500856"/>
                  <a:pt x="1476375" y="500062"/>
                </a:cubicBezTo>
                <a:cubicBezTo>
                  <a:pt x="1820862" y="499268"/>
                  <a:pt x="1943893" y="249634"/>
                  <a:pt x="2066925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96" name="Straight Connector 1895">
            <a:extLst>
              <a:ext uri="{FF2B5EF4-FFF2-40B4-BE49-F238E27FC236}">
                <a16:creationId xmlns:a16="http://schemas.microsoft.com/office/drawing/2014/main" id="{94763D58-046E-48D8-8C9F-AEDAC4CE1411}"/>
              </a:ext>
            </a:extLst>
          </xdr:cNvPr>
          <xdr:cNvCxnSpPr/>
        </xdr:nvCxnSpPr>
        <xdr:spPr>
          <a:xfrm flipH="1">
            <a:off x="7986713" y="125921026"/>
            <a:ext cx="122957" cy="30432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7" name="Straight Connector 1896">
            <a:extLst>
              <a:ext uri="{FF2B5EF4-FFF2-40B4-BE49-F238E27FC236}">
                <a16:creationId xmlns:a16="http://schemas.microsoft.com/office/drawing/2014/main" id="{E9E3160E-D261-490C-9DED-7B446FBA3062}"/>
              </a:ext>
            </a:extLst>
          </xdr:cNvPr>
          <xdr:cNvCxnSpPr/>
        </xdr:nvCxnSpPr>
        <xdr:spPr>
          <a:xfrm flipH="1">
            <a:off x="9872663" y="126212442"/>
            <a:ext cx="187963" cy="4652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Straight Connector 1897">
            <a:extLst>
              <a:ext uri="{FF2B5EF4-FFF2-40B4-BE49-F238E27FC236}">
                <a16:creationId xmlns:a16="http://schemas.microsoft.com/office/drawing/2014/main" id="{0447AC31-6A8D-4711-8609-DAE9023E998E}"/>
              </a:ext>
            </a:extLst>
          </xdr:cNvPr>
          <xdr:cNvCxnSpPr/>
        </xdr:nvCxnSpPr>
        <xdr:spPr>
          <a:xfrm flipH="1">
            <a:off x="8386937" y="126134812"/>
            <a:ext cx="221280" cy="54768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99" name="Freeform: Shape 1898">
            <a:extLst>
              <a:ext uri="{FF2B5EF4-FFF2-40B4-BE49-F238E27FC236}">
                <a16:creationId xmlns:a16="http://schemas.microsoft.com/office/drawing/2014/main" id="{320E2A59-3866-4060-BFB6-F149BE321E58}"/>
              </a:ext>
            </a:extLst>
          </xdr:cNvPr>
          <xdr:cNvSpPr/>
        </xdr:nvSpPr>
        <xdr:spPr>
          <a:xfrm>
            <a:off x="7996238" y="126211013"/>
            <a:ext cx="2066925" cy="500063"/>
          </a:xfrm>
          <a:custGeom>
            <a:avLst/>
            <a:gdLst>
              <a:gd name="connsiteX0" fmla="*/ 0 w 2066925"/>
              <a:gd name="connsiteY0" fmla="*/ 0 h 500063"/>
              <a:gd name="connsiteX1" fmla="*/ 590550 w 2066925"/>
              <a:gd name="connsiteY1" fmla="*/ 500062 h 500063"/>
              <a:gd name="connsiteX2" fmla="*/ 2066925 w 2066925"/>
              <a:gd name="connsiteY2" fmla="*/ 4762 h 5000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66925" h="500063">
                <a:moveTo>
                  <a:pt x="0" y="0"/>
                </a:moveTo>
                <a:cubicBezTo>
                  <a:pt x="123031" y="249634"/>
                  <a:pt x="246063" y="499268"/>
                  <a:pt x="590550" y="500062"/>
                </a:cubicBezTo>
                <a:cubicBezTo>
                  <a:pt x="935037" y="500856"/>
                  <a:pt x="2010569" y="33337"/>
                  <a:pt x="2066925" y="4762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900" name="Straight Connector 1899">
            <a:extLst>
              <a:ext uri="{FF2B5EF4-FFF2-40B4-BE49-F238E27FC236}">
                <a16:creationId xmlns:a16="http://schemas.microsoft.com/office/drawing/2014/main" id="{1D60AB83-CB43-45EB-80ED-538DBFCFCCF2}"/>
              </a:ext>
            </a:extLst>
          </xdr:cNvPr>
          <xdr:cNvCxnSpPr/>
        </xdr:nvCxnSpPr>
        <xdr:spPr>
          <a:xfrm flipV="1">
            <a:off x="6315075" y="125720475"/>
            <a:ext cx="0" cy="819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1" name="Straight Connector 1900">
            <a:extLst>
              <a:ext uri="{FF2B5EF4-FFF2-40B4-BE49-F238E27FC236}">
                <a16:creationId xmlns:a16="http://schemas.microsoft.com/office/drawing/2014/main" id="{E96D159E-4B95-4AF5-BCBD-CECB9CCF10E8}"/>
              </a:ext>
            </a:extLst>
          </xdr:cNvPr>
          <xdr:cNvCxnSpPr/>
        </xdr:nvCxnSpPr>
        <xdr:spPr>
          <a:xfrm>
            <a:off x="6248401" y="125787151"/>
            <a:ext cx="14049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2" name="Straight Connector 1901">
            <a:extLst>
              <a:ext uri="{FF2B5EF4-FFF2-40B4-BE49-F238E27FC236}">
                <a16:creationId xmlns:a16="http://schemas.microsoft.com/office/drawing/2014/main" id="{60C96261-E799-4048-B450-F4C7161E66BE}"/>
              </a:ext>
            </a:extLst>
          </xdr:cNvPr>
          <xdr:cNvCxnSpPr/>
        </xdr:nvCxnSpPr>
        <xdr:spPr>
          <a:xfrm flipH="1">
            <a:off x="6276974" y="12575381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3" name="Straight Connector 1902">
            <a:extLst>
              <a:ext uri="{FF2B5EF4-FFF2-40B4-BE49-F238E27FC236}">
                <a16:creationId xmlns:a16="http://schemas.microsoft.com/office/drawing/2014/main" id="{A2D5A7AE-E956-44A2-999A-161CAB5A8F71}"/>
              </a:ext>
            </a:extLst>
          </xdr:cNvPr>
          <xdr:cNvCxnSpPr/>
        </xdr:nvCxnSpPr>
        <xdr:spPr>
          <a:xfrm flipV="1">
            <a:off x="7586662" y="125720475"/>
            <a:ext cx="0" cy="385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4" name="Straight Connector 1903">
            <a:extLst>
              <a:ext uri="{FF2B5EF4-FFF2-40B4-BE49-F238E27FC236}">
                <a16:creationId xmlns:a16="http://schemas.microsoft.com/office/drawing/2014/main" id="{8EF8E420-0927-4312-BCBA-F0F7C31B5EC8}"/>
              </a:ext>
            </a:extLst>
          </xdr:cNvPr>
          <xdr:cNvCxnSpPr/>
        </xdr:nvCxnSpPr>
        <xdr:spPr>
          <a:xfrm flipH="1">
            <a:off x="7548561" y="12575381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5" name="Straight Connector 1904">
            <a:extLst>
              <a:ext uri="{FF2B5EF4-FFF2-40B4-BE49-F238E27FC236}">
                <a16:creationId xmlns:a16="http://schemas.microsoft.com/office/drawing/2014/main" id="{2FE735F8-A346-448D-B15F-70D19E519B2E}"/>
              </a:ext>
            </a:extLst>
          </xdr:cNvPr>
          <xdr:cNvCxnSpPr/>
        </xdr:nvCxnSpPr>
        <xdr:spPr>
          <a:xfrm flipV="1">
            <a:off x="8615362" y="125720475"/>
            <a:ext cx="0" cy="385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6" name="Straight Connector 1905">
            <a:extLst>
              <a:ext uri="{FF2B5EF4-FFF2-40B4-BE49-F238E27FC236}">
                <a16:creationId xmlns:a16="http://schemas.microsoft.com/office/drawing/2014/main" id="{610965A8-6D3C-46BB-854E-7A79D2913212}"/>
              </a:ext>
            </a:extLst>
          </xdr:cNvPr>
          <xdr:cNvCxnSpPr/>
        </xdr:nvCxnSpPr>
        <xdr:spPr>
          <a:xfrm flipH="1">
            <a:off x="8577261" y="12575381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7" name="Straight Connector 1906">
            <a:extLst>
              <a:ext uri="{FF2B5EF4-FFF2-40B4-BE49-F238E27FC236}">
                <a16:creationId xmlns:a16="http://schemas.microsoft.com/office/drawing/2014/main" id="{78846FF3-3C1B-408D-9B87-0FFE04B7570E}"/>
              </a:ext>
            </a:extLst>
          </xdr:cNvPr>
          <xdr:cNvCxnSpPr/>
        </xdr:nvCxnSpPr>
        <xdr:spPr>
          <a:xfrm flipV="1">
            <a:off x="9877426" y="125720471"/>
            <a:ext cx="0" cy="819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8" name="Straight Connector 1907">
            <a:extLst>
              <a:ext uri="{FF2B5EF4-FFF2-40B4-BE49-F238E27FC236}">
                <a16:creationId xmlns:a16="http://schemas.microsoft.com/office/drawing/2014/main" id="{CE0D67BC-1D2F-45DF-BBA9-CE005AD7BD98}"/>
              </a:ext>
            </a:extLst>
          </xdr:cNvPr>
          <xdr:cNvCxnSpPr/>
        </xdr:nvCxnSpPr>
        <xdr:spPr>
          <a:xfrm>
            <a:off x="8548689" y="125787147"/>
            <a:ext cx="14049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9" name="Straight Connector 1908">
            <a:extLst>
              <a:ext uri="{FF2B5EF4-FFF2-40B4-BE49-F238E27FC236}">
                <a16:creationId xmlns:a16="http://schemas.microsoft.com/office/drawing/2014/main" id="{2B5F3F55-4325-4ED5-872D-D6BB0A969368}"/>
              </a:ext>
            </a:extLst>
          </xdr:cNvPr>
          <xdr:cNvCxnSpPr/>
        </xdr:nvCxnSpPr>
        <xdr:spPr>
          <a:xfrm flipH="1">
            <a:off x="9839325" y="125753809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11" name="Freeform: Shape 1910">
            <a:extLst>
              <a:ext uri="{FF2B5EF4-FFF2-40B4-BE49-F238E27FC236}">
                <a16:creationId xmlns:a16="http://schemas.microsoft.com/office/drawing/2014/main" id="{8C6A1181-1AC0-E186-6B0D-3291C9EF4F3D}"/>
              </a:ext>
            </a:extLst>
          </xdr:cNvPr>
          <xdr:cNvSpPr/>
        </xdr:nvSpPr>
        <xdr:spPr>
          <a:xfrm>
            <a:off x="5662613" y="126639639"/>
            <a:ext cx="1304925" cy="1719262"/>
          </a:xfrm>
          <a:custGeom>
            <a:avLst/>
            <a:gdLst>
              <a:gd name="connsiteX0" fmla="*/ 661987 w 1304925"/>
              <a:gd name="connsiteY0" fmla="*/ 0 h 1728787"/>
              <a:gd name="connsiteX1" fmla="*/ 0 w 1304925"/>
              <a:gd name="connsiteY1" fmla="*/ 0 h 1728787"/>
              <a:gd name="connsiteX2" fmla="*/ 1304925 w 1304925"/>
              <a:gd name="connsiteY2" fmla="*/ 1728787 h 1728787"/>
              <a:gd name="connsiteX3" fmla="*/ 652462 w 1304925"/>
              <a:gd name="connsiteY3" fmla="*/ 1728787 h 17287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04925" h="1728787">
                <a:moveTo>
                  <a:pt x="661987" y="0"/>
                </a:moveTo>
                <a:lnTo>
                  <a:pt x="0" y="0"/>
                </a:lnTo>
                <a:lnTo>
                  <a:pt x="1304925" y="1728787"/>
                </a:lnTo>
                <a:lnTo>
                  <a:pt x="652462" y="172878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12" name="Freeform: Shape 1911">
            <a:extLst>
              <a:ext uri="{FF2B5EF4-FFF2-40B4-BE49-F238E27FC236}">
                <a16:creationId xmlns:a16="http://schemas.microsoft.com/office/drawing/2014/main" id="{3DD00598-91E5-730B-324A-A8CB6AE4D2B1}"/>
              </a:ext>
            </a:extLst>
          </xdr:cNvPr>
          <xdr:cNvSpPr/>
        </xdr:nvSpPr>
        <xdr:spPr>
          <a:xfrm>
            <a:off x="9391650" y="126649162"/>
            <a:ext cx="971550" cy="1704976"/>
          </a:xfrm>
          <a:custGeom>
            <a:avLst/>
            <a:gdLst>
              <a:gd name="connsiteX0" fmla="*/ 485775 w 971550"/>
              <a:gd name="connsiteY0" fmla="*/ 0 h 1700212"/>
              <a:gd name="connsiteX1" fmla="*/ 971550 w 971550"/>
              <a:gd name="connsiteY1" fmla="*/ 0 h 1700212"/>
              <a:gd name="connsiteX2" fmla="*/ 0 w 971550"/>
              <a:gd name="connsiteY2" fmla="*/ 1700212 h 1700212"/>
              <a:gd name="connsiteX3" fmla="*/ 490538 w 971550"/>
              <a:gd name="connsiteY3" fmla="*/ 1700212 h 17002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71550" h="1700212">
                <a:moveTo>
                  <a:pt x="485775" y="0"/>
                </a:moveTo>
                <a:lnTo>
                  <a:pt x="971550" y="0"/>
                </a:lnTo>
                <a:lnTo>
                  <a:pt x="0" y="1700212"/>
                </a:lnTo>
                <a:lnTo>
                  <a:pt x="490538" y="170021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864</xdr:row>
      <xdr:rowOff>0</xdr:rowOff>
    </xdr:from>
    <xdr:to>
      <xdr:col>32</xdr:col>
      <xdr:colOff>4762</xdr:colOff>
      <xdr:row>889</xdr:row>
      <xdr:rowOff>66675</xdr:rowOff>
    </xdr:to>
    <xdr:grpSp>
      <xdr:nvGrpSpPr>
        <xdr:cNvPr id="398" name="Group 397">
          <a:extLst>
            <a:ext uri="{FF2B5EF4-FFF2-40B4-BE49-F238E27FC236}">
              <a16:creationId xmlns:a16="http://schemas.microsoft.com/office/drawing/2014/main" id="{25C8E550-4653-A796-B644-62ADD03BBDB3}"/>
            </a:ext>
          </a:extLst>
        </xdr:cNvPr>
        <xdr:cNvGrpSpPr/>
      </xdr:nvGrpSpPr>
      <xdr:grpSpPr>
        <a:xfrm>
          <a:off x="404814" y="125644275"/>
          <a:ext cx="4781548" cy="3638550"/>
          <a:chOff x="566739" y="125644275"/>
          <a:chExt cx="4781548" cy="3638550"/>
        </a:xfrm>
      </xdr:grpSpPr>
      <xdr:sp macro="" textlink="">
        <xdr:nvSpPr>
          <xdr:cNvPr id="1842" name="Freeform: Shape 1841">
            <a:extLst>
              <a:ext uri="{FF2B5EF4-FFF2-40B4-BE49-F238E27FC236}">
                <a16:creationId xmlns:a16="http://schemas.microsoft.com/office/drawing/2014/main" id="{01642CC5-6551-404D-82F5-ACD82B04C7A3}"/>
              </a:ext>
            </a:extLst>
          </xdr:cNvPr>
          <xdr:cNvSpPr/>
        </xdr:nvSpPr>
        <xdr:spPr>
          <a:xfrm>
            <a:off x="1300162" y="12593478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B796D79-5F2E-4F71-85CA-334D84CA2082}"/>
              </a:ext>
            </a:extLst>
          </xdr:cNvPr>
          <xdr:cNvSpPr/>
        </xdr:nvSpPr>
        <xdr:spPr>
          <a:xfrm>
            <a:off x="1138238" y="1283636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46" name="Straight Connector 1845">
            <a:extLst>
              <a:ext uri="{FF2B5EF4-FFF2-40B4-BE49-F238E27FC236}">
                <a16:creationId xmlns:a16="http://schemas.microsoft.com/office/drawing/2014/main" id="{2C3A3D51-AF2E-4789-A7EB-CB3E4283BD8B}"/>
              </a:ext>
            </a:extLst>
          </xdr:cNvPr>
          <xdr:cNvCxnSpPr/>
        </xdr:nvCxnSpPr>
        <xdr:spPr>
          <a:xfrm>
            <a:off x="1133475" y="1283588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8EB9519C-4BDB-489A-B3B1-A291B2334032}"/>
              </a:ext>
            </a:extLst>
          </xdr:cNvPr>
          <xdr:cNvSpPr/>
        </xdr:nvSpPr>
        <xdr:spPr>
          <a:xfrm>
            <a:off x="4700588" y="1283684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48" name="Straight Connector 1847">
            <a:extLst>
              <a:ext uri="{FF2B5EF4-FFF2-40B4-BE49-F238E27FC236}">
                <a16:creationId xmlns:a16="http://schemas.microsoft.com/office/drawing/2014/main" id="{CDFCA118-E5D3-4EAA-9B48-089B84170169}"/>
              </a:ext>
            </a:extLst>
          </xdr:cNvPr>
          <xdr:cNvCxnSpPr/>
        </xdr:nvCxnSpPr>
        <xdr:spPr>
          <a:xfrm>
            <a:off x="4695825" y="1283636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9" name="Straight Connector 1848">
            <a:extLst>
              <a:ext uri="{FF2B5EF4-FFF2-40B4-BE49-F238E27FC236}">
                <a16:creationId xmlns:a16="http://schemas.microsoft.com/office/drawing/2014/main" id="{6F892D15-446F-4300-B733-32AEC8961930}"/>
              </a:ext>
            </a:extLst>
          </xdr:cNvPr>
          <xdr:cNvCxnSpPr/>
        </xdr:nvCxnSpPr>
        <xdr:spPr>
          <a:xfrm>
            <a:off x="566739" y="1283589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0" name="Straight Connector 1849">
            <a:extLst>
              <a:ext uri="{FF2B5EF4-FFF2-40B4-BE49-F238E27FC236}">
                <a16:creationId xmlns:a16="http://schemas.microsoft.com/office/drawing/2014/main" id="{ED533181-6B92-400F-800D-7AA6686DF5BB}"/>
              </a:ext>
            </a:extLst>
          </xdr:cNvPr>
          <xdr:cNvCxnSpPr/>
        </xdr:nvCxnSpPr>
        <xdr:spPr>
          <a:xfrm flipH="1">
            <a:off x="609601" y="1283208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1" name="Straight Arrow Connector 1850">
            <a:extLst>
              <a:ext uri="{FF2B5EF4-FFF2-40B4-BE49-F238E27FC236}">
                <a16:creationId xmlns:a16="http://schemas.microsoft.com/office/drawing/2014/main" id="{15B726D4-4385-4464-BBB9-EF0A986EFFDD}"/>
              </a:ext>
            </a:extLst>
          </xdr:cNvPr>
          <xdr:cNvCxnSpPr/>
        </xdr:nvCxnSpPr>
        <xdr:spPr>
          <a:xfrm flipV="1">
            <a:off x="1295400" y="1284827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2" name="Straight Arrow Connector 1851">
            <a:extLst>
              <a:ext uri="{FF2B5EF4-FFF2-40B4-BE49-F238E27FC236}">
                <a16:creationId xmlns:a16="http://schemas.microsoft.com/office/drawing/2014/main" id="{4F1BA714-584D-4D2C-AACB-E69ECA1AD2BC}"/>
              </a:ext>
            </a:extLst>
          </xdr:cNvPr>
          <xdr:cNvCxnSpPr/>
        </xdr:nvCxnSpPr>
        <xdr:spPr>
          <a:xfrm flipV="1">
            <a:off x="4857750" y="1284827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3" name="Straight Arrow Connector 1852">
            <a:extLst>
              <a:ext uri="{FF2B5EF4-FFF2-40B4-BE49-F238E27FC236}">
                <a16:creationId xmlns:a16="http://schemas.microsoft.com/office/drawing/2014/main" id="{277F7529-B1E7-4CAF-8DAB-FE93AEA9B6C4}"/>
              </a:ext>
            </a:extLst>
          </xdr:cNvPr>
          <xdr:cNvCxnSpPr/>
        </xdr:nvCxnSpPr>
        <xdr:spPr>
          <a:xfrm>
            <a:off x="823913" y="1283588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4" name="Straight Arrow Connector 1853">
            <a:extLst>
              <a:ext uri="{FF2B5EF4-FFF2-40B4-BE49-F238E27FC236}">
                <a16:creationId xmlns:a16="http://schemas.microsoft.com/office/drawing/2014/main" id="{F4CD1287-9AEE-48C0-A945-F2FCD927553C}"/>
              </a:ext>
            </a:extLst>
          </xdr:cNvPr>
          <xdr:cNvCxnSpPr/>
        </xdr:nvCxnSpPr>
        <xdr:spPr>
          <a:xfrm flipH="1">
            <a:off x="5038724" y="1283589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5" name="Straight Connector 1854">
            <a:extLst>
              <a:ext uri="{FF2B5EF4-FFF2-40B4-BE49-F238E27FC236}">
                <a16:creationId xmlns:a16="http://schemas.microsoft.com/office/drawing/2014/main" id="{9101E139-DE63-47DE-ACA3-F68CA5D46188}"/>
              </a:ext>
            </a:extLst>
          </xdr:cNvPr>
          <xdr:cNvCxnSpPr/>
        </xdr:nvCxnSpPr>
        <xdr:spPr>
          <a:xfrm flipV="1">
            <a:off x="647700" y="12586335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6" name="Straight Connector 1855">
            <a:extLst>
              <a:ext uri="{FF2B5EF4-FFF2-40B4-BE49-F238E27FC236}">
                <a16:creationId xmlns:a16="http://schemas.microsoft.com/office/drawing/2014/main" id="{CD5B9ED7-BECD-4839-ADB0-3AE5F508582E}"/>
              </a:ext>
            </a:extLst>
          </xdr:cNvPr>
          <xdr:cNvCxnSpPr/>
        </xdr:nvCxnSpPr>
        <xdr:spPr>
          <a:xfrm>
            <a:off x="581025" y="12593002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7" name="Straight Connector 1856">
            <a:extLst>
              <a:ext uri="{FF2B5EF4-FFF2-40B4-BE49-F238E27FC236}">
                <a16:creationId xmlns:a16="http://schemas.microsoft.com/office/drawing/2014/main" id="{D1796894-ADBC-4F13-8109-A686C0504699}"/>
              </a:ext>
            </a:extLst>
          </xdr:cNvPr>
          <xdr:cNvCxnSpPr/>
        </xdr:nvCxnSpPr>
        <xdr:spPr>
          <a:xfrm flipH="1">
            <a:off x="614363" y="1259014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Connector 1857">
            <a:extLst>
              <a:ext uri="{FF2B5EF4-FFF2-40B4-BE49-F238E27FC236}">
                <a16:creationId xmlns:a16="http://schemas.microsoft.com/office/drawing/2014/main" id="{7138CC9A-36FB-4F46-9AFA-D405E992FDEE}"/>
              </a:ext>
            </a:extLst>
          </xdr:cNvPr>
          <xdr:cNvCxnSpPr/>
        </xdr:nvCxnSpPr>
        <xdr:spPr>
          <a:xfrm>
            <a:off x="581025" y="126644401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Connector 1858">
            <a:extLst>
              <a:ext uri="{FF2B5EF4-FFF2-40B4-BE49-F238E27FC236}">
                <a16:creationId xmlns:a16="http://schemas.microsoft.com/office/drawing/2014/main" id="{D6F981C5-28EB-4D34-B340-2F8CFEFBF4DE}"/>
              </a:ext>
            </a:extLst>
          </xdr:cNvPr>
          <xdr:cNvCxnSpPr/>
        </xdr:nvCxnSpPr>
        <xdr:spPr>
          <a:xfrm flipH="1">
            <a:off x="614363" y="1266158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Arrow Connector 1859">
            <a:extLst>
              <a:ext uri="{FF2B5EF4-FFF2-40B4-BE49-F238E27FC236}">
                <a16:creationId xmlns:a16="http://schemas.microsoft.com/office/drawing/2014/main" id="{86A4F13D-9590-46CC-9B05-28AE94F33D7F}"/>
              </a:ext>
            </a:extLst>
          </xdr:cNvPr>
          <xdr:cNvCxnSpPr/>
        </xdr:nvCxnSpPr>
        <xdr:spPr>
          <a:xfrm>
            <a:off x="1295399" y="12565381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1" name="Straight Connector 1860">
            <a:extLst>
              <a:ext uri="{FF2B5EF4-FFF2-40B4-BE49-F238E27FC236}">
                <a16:creationId xmlns:a16="http://schemas.microsoft.com/office/drawing/2014/main" id="{6BB0C59E-7D39-43D8-A3C2-486D90CAF1B8}"/>
              </a:ext>
            </a:extLst>
          </xdr:cNvPr>
          <xdr:cNvCxnSpPr/>
        </xdr:nvCxnSpPr>
        <xdr:spPr>
          <a:xfrm>
            <a:off x="1290637" y="125644286"/>
            <a:ext cx="35671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Straight Arrow Connector 1861">
            <a:extLst>
              <a:ext uri="{FF2B5EF4-FFF2-40B4-BE49-F238E27FC236}">
                <a16:creationId xmlns:a16="http://schemas.microsoft.com/office/drawing/2014/main" id="{43267271-A5D6-4678-A295-0B9EDAD5BC31}"/>
              </a:ext>
            </a:extLst>
          </xdr:cNvPr>
          <xdr:cNvCxnSpPr/>
        </xdr:nvCxnSpPr>
        <xdr:spPr>
          <a:xfrm>
            <a:off x="1457324" y="12565381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3" name="Straight Arrow Connector 1862">
            <a:extLst>
              <a:ext uri="{FF2B5EF4-FFF2-40B4-BE49-F238E27FC236}">
                <a16:creationId xmlns:a16="http://schemas.microsoft.com/office/drawing/2014/main" id="{50C7BB91-895C-4219-B223-3467ADBF0FBE}"/>
              </a:ext>
            </a:extLst>
          </xdr:cNvPr>
          <xdr:cNvCxnSpPr/>
        </xdr:nvCxnSpPr>
        <xdr:spPr>
          <a:xfrm>
            <a:off x="1619250" y="12565381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4" name="Straight Arrow Connector 1863">
            <a:extLst>
              <a:ext uri="{FF2B5EF4-FFF2-40B4-BE49-F238E27FC236}">
                <a16:creationId xmlns:a16="http://schemas.microsoft.com/office/drawing/2014/main" id="{0CE2717A-1A9D-4862-9087-5D10EF5C395E}"/>
              </a:ext>
            </a:extLst>
          </xdr:cNvPr>
          <xdr:cNvCxnSpPr/>
        </xdr:nvCxnSpPr>
        <xdr:spPr>
          <a:xfrm>
            <a:off x="1781175" y="125653810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5" name="Straight Arrow Connector 1864">
            <a:extLst>
              <a:ext uri="{FF2B5EF4-FFF2-40B4-BE49-F238E27FC236}">
                <a16:creationId xmlns:a16="http://schemas.microsoft.com/office/drawing/2014/main" id="{05E0D52C-B0A7-4E59-9E23-9BF3047091C2}"/>
              </a:ext>
            </a:extLst>
          </xdr:cNvPr>
          <xdr:cNvCxnSpPr/>
        </xdr:nvCxnSpPr>
        <xdr:spPr>
          <a:xfrm>
            <a:off x="1943099" y="12564904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6" name="Straight Arrow Connector 1865">
            <a:extLst>
              <a:ext uri="{FF2B5EF4-FFF2-40B4-BE49-F238E27FC236}">
                <a16:creationId xmlns:a16="http://schemas.microsoft.com/office/drawing/2014/main" id="{CDCFBF3B-6495-4AA4-9194-C665350051C9}"/>
              </a:ext>
            </a:extLst>
          </xdr:cNvPr>
          <xdr:cNvCxnSpPr/>
        </xdr:nvCxnSpPr>
        <xdr:spPr>
          <a:xfrm>
            <a:off x="2105024" y="12564904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7" name="Straight Arrow Connector 1866">
            <a:extLst>
              <a:ext uri="{FF2B5EF4-FFF2-40B4-BE49-F238E27FC236}">
                <a16:creationId xmlns:a16="http://schemas.microsoft.com/office/drawing/2014/main" id="{8A81CC84-D2DB-4880-84D0-383F4880657B}"/>
              </a:ext>
            </a:extLst>
          </xdr:cNvPr>
          <xdr:cNvCxnSpPr/>
        </xdr:nvCxnSpPr>
        <xdr:spPr>
          <a:xfrm>
            <a:off x="2266950" y="12564904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Straight Arrow Connector 1867">
            <a:extLst>
              <a:ext uri="{FF2B5EF4-FFF2-40B4-BE49-F238E27FC236}">
                <a16:creationId xmlns:a16="http://schemas.microsoft.com/office/drawing/2014/main" id="{B08789D3-FD6F-4CA0-9A79-510972479936}"/>
              </a:ext>
            </a:extLst>
          </xdr:cNvPr>
          <xdr:cNvCxnSpPr/>
        </xdr:nvCxnSpPr>
        <xdr:spPr>
          <a:xfrm>
            <a:off x="2428875" y="12564904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9" name="Straight Arrow Connector 1868">
            <a:extLst>
              <a:ext uri="{FF2B5EF4-FFF2-40B4-BE49-F238E27FC236}">
                <a16:creationId xmlns:a16="http://schemas.microsoft.com/office/drawing/2014/main" id="{708ACA8A-E7E2-4103-913F-25F5D5453E2B}"/>
              </a:ext>
            </a:extLst>
          </xdr:cNvPr>
          <xdr:cNvCxnSpPr/>
        </xdr:nvCxnSpPr>
        <xdr:spPr>
          <a:xfrm>
            <a:off x="2590798" y="12565380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0" name="Straight Arrow Connector 1869">
            <a:extLst>
              <a:ext uri="{FF2B5EF4-FFF2-40B4-BE49-F238E27FC236}">
                <a16:creationId xmlns:a16="http://schemas.microsoft.com/office/drawing/2014/main" id="{A9712D2A-C8C3-49AA-9745-E2F06D614726}"/>
              </a:ext>
            </a:extLst>
          </xdr:cNvPr>
          <xdr:cNvCxnSpPr/>
        </xdr:nvCxnSpPr>
        <xdr:spPr>
          <a:xfrm>
            <a:off x="2752723" y="12565380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1" name="Straight Arrow Connector 1870">
            <a:extLst>
              <a:ext uri="{FF2B5EF4-FFF2-40B4-BE49-F238E27FC236}">
                <a16:creationId xmlns:a16="http://schemas.microsoft.com/office/drawing/2014/main" id="{095743BE-378B-4ABB-B808-39764F5FE04E}"/>
              </a:ext>
            </a:extLst>
          </xdr:cNvPr>
          <xdr:cNvCxnSpPr/>
        </xdr:nvCxnSpPr>
        <xdr:spPr>
          <a:xfrm>
            <a:off x="2914649" y="12565380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2" name="Straight Arrow Connector 1871">
            <a:extLst>
              <a:ext uri="{FF2B5EF4-FFF2-40B4-BE49-F238E27FC236}">
                <a16:creationId xmlns:a16="http://schemas.microsoft.com/office/drawing/2014/main" id="{7F5D0847-3D05-4C47-92BB-76CAB8E9CF8E}"/>
              </a:ext>
            </a:extLst>
          </xdr:cNvPr>
          <xdr:cNvCxnSpPr/>
        </xdr:nvCxnSpPr>
        <xdr:spPr>
          <a:xfrm>
            <a:off x="3076574" y="12565380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3" name="Straight Arrow Connector 1872">
            <a:extLst>
              <a:ext uri="{FF2B5EF4-FFF2-40B4-BE49-F238E27FC236}">
                <a16:creationId xmlns:a16="http://schemas.microsoft.com/office/drawing/2014/main" id="{AB68EAA8-F95D-4C98-886A-531A6462822B}"/>
              </a:ext>
            </a:extLst>
          </xdr:cNvPr>
          <xdr:cNvCxnSpPr/>
        </xdr:nvCxnSpPr>
        <xdr:spPr>
          <a:xfrm>
            <a:off x="3238499" y="12565380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4" name="Straight Connector 1873">
            <a:extLst>
              <a:ext uri="{FF2B5EF4-FFF2-40B4-BE49-F238E27FC236}">
                <a16:creationId xmlns:a16="http://schemas.microsoft.com/office/drawing/2014/main" id="{81C703F0-BAB8-49CD-8457-9D531F64682D}"/>
              </a:ext>
            </a:extLst>
          </xdr:cNvPr>
          <xdr:cNvCxnSpPr/>
        </xdr:nvCxnSpPr>
        <xdr:spPr>
          <a:xfrm>
            <a:off x="1295399" y="125887173"/>
            <a:ext cx="3562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5" name="Straight Arrow Connector 1874">
            <a:extLst>
              <a:ext uri="{FF2B5EF4-FFF2-40B4-BE49-F238E27FC236}">
                <a16:creationId xmlns:a16="http://schemas.microsoft.com/office/drawing/2014/main" id="{AFBDA2B5-AA16-479C-BFA4-6C108784003F}"/>
              </a:ext>
            </a:extLst>
          </xdr:cNvPr>
          <xdr:cNvCxnSpPr/>
        </xdr:nvCxnSpPr>
        <xdr:spPr>
          <a:xfrm>
            <a:off x="3400425" y="12564903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6" name="Straight Arrow Connector 1875">
            <a:extLst>
              <a:ext uri="{FF2B5EF4-FFF2-40B4-BE49-F238E27FC236}">
                <a16:creationId xmlns:a16="http://schemas.microsoft.com/office/drawing/2014/main" id="{31F3A3CF-2A15-4652-9FA7-821897B42EC6}"/>
              </a:ext>
            </a:extLst>
          </xdr:cNvPr>
          <xdr:cNvCxnSpPr/>
        </xdr:nvCxnSpPr>
        <xdr:spPr>
          <a:xfrm>
            <a:off x="3562350" y="12564903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7" name="Straight Arrow Connector 1876">
            <a:extLst>
              <a:ext uri="{FF2B5EF4-FFF2-40B4-BE49-F238E27FC236}">
                <a16:creationId xmlns:a16="http://schemas.microsoft.com/office/drawing/2014/main" id="{93505C32-04CB-48AF-9D49-977DBC607797}"/>
              </a:ext>
            </a:extLst>
          </xdr:cNvPr>
          <xdr:cNvCxnSpPr/>
        </xdr:nvCxnSpPr>
        <xdr:spPr>
          <a:xfrm>
            <a:off x="3724276" y="12564903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8" name="Straight Arrow Connector 1877">
            <a:extLst>
              <a:ext uri="{FF2B5EF4-FFF2-40B4-BE49-F238E27FC236}">
                <a16:creationId xmlns:a16="http://schemas.microsoft.com/office/drawing/2014/main" id="{DF367C18-21EB-4F45-8686-9C67E58CDE7D}"/>
              </a:ext>
            </a:extLst>
          </xdr:cNvPr>
          <xdr:cNvCxnSpPr/>
        </xdr:nvCxnSpPr>
        <xdr:spPr>
          <a:xfrm>
            <a:off x="3886201" y="12564903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9" name="Straight Arrow Connector 1878">
            <a:extLst>
              <a:ext uri="{FF2B5EF4-FFF2-40B4-BE49-F238E27FC236}">
                <a16:creationId xmlns:a16="http://schemas.microsoft.com/office/drawing/2014/main" id="{6449CCBE-CA02-4EE5-A355-C8E4CED75A00}"/>
              </a:ext>
            </a:extLst>
          </xdr:cNvPr>
          <xdr:cNvCxnSpPr/>
        </xdr:nvCxnSpPr>
        <xdr:spPr>
          <a:xfrm>
            <a:off x="4048125" y="12564427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0" name="Straight Arrow Connector 1879">
            <a:extLst>
              <a:ext uri="{FF2B5EF4-FFF2-40B4-BE49-F238E27FC236}">
                <a16:creationId xmlns:a16="http://schemas.microsoft.com/office/drawing/2014/main" id="{DBD0F52A-6209-4A1B-BCE9-50AEC3BE122D}"/>
              </a:ext>
            </a:extLst>
          </xdr:cNvPr>
          <xdr:cNvCxnSpPr/>
        </xdr:nvCxnSpPr>
        <xdr:spPr>
          <a:xfrm>
            <a:off x="4210050" y="12564427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1" name="Straight Arrow Connector 1880">
            <a:extLst>
              <a:ext uri="{FF2B5EF4-FFF2-40B4-BE49-F238E27FC236}">
                <a16:creationId xmlns:a16="http://schemas.microsoft.com/office/drawing/2014/main" id="{6E43AF34-3127-4CEA-AC1A-971C2EC5DEFA}"/>
              </a:ext>
            </a:extLst>
          </xdr:cNvPr>
          <xdr:cNvCxnSpPr/>
        </xdr:nvCxnSpPr>
        <xdr:spPr>
          <a:xfrm>
            <a:off x="4371976" y="12564427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2" name="Straight Arrow Connector 1881">
            <a:extLst>
              <a:ext uri="{FF2B5EF4-FFF2-40B4-BE49-F238E27FC236}">
                <a16:creationId xmlns:a16="http://schemas.microsoft.com/office/drawing/2014/main" id="{18EEBC8C-915E-4574-8CAE-CAC91E4B16EE}"/>
              </a:ext>
            </a:extLst>
          </xdr:cNvPr>
          <xdr:cNvCxnSpPr/>
        </xdr:nvCxnSpPr>
        <xdr:spPr>
          <a:xfrm>
            <a:off x="4533901" y="125644275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3" name="Straight Arrow Connector 1882">
            <a:extLst>
              <a:ext uri="{FF2B5EF4-FFF2-40B4-BE49-F238E27FC236}">
                <a16:creationId xmlns:a16="http://schemas.microsoft.com/office/drawing/2014/main" id="{CD91525C-A947-4982-AF8A-4E788FD94905}"/>
              </a:ext>
            </a:extLst>
          </xdr:cNvPr>
          <xdr:cNvCxnSpPr/>
        </xdr:nvCxnSpPr>
        <xdr:spPr>
          <a:xfrm>
            <a:off x="4695824" y="12564903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4" name="Straight Arrow Connector 1883">
            <a:extLst>
              <a:ext uri="{FF2B5EF4-FFF2-40B4-BE49-F238E27FC236}">
                <a16:creationId xmlns:a16="http://schemas.microsoft.com/office/drawing/2014/main" id="{B792448D-53E9-409E-BDB2-AAE343107D94}"/>
              </a:ext>
            </a:extLst>
          </xdr:cNvPr>
          <xdr:cNvCxnSpPr/>
        </xdr:nvCxnSpPr>
        <xdr:spPr>
          <a:xfrm>
            <a:off x="4857749" y="125649037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5" name="Straight Connector 1884">
            <a:extLst>
              <a:ext uri="{FF2B5EF4-FFF2-40B4-BE49-F238E27FC236}">
                <a16:creationId xmlns:a16="http://schemas.microsoft.com/office/drawing/2014/main" id="{5EE9576E-E187-42E5-A044-767B1FA16C4D}"/>
              </a:ext>
            </a:extLst>
          </xdr:cNvPr>
          <xdr:cNvCxnSpPr/>
        </xdr:nvCxnSpPr>
        <xdr:spPr>
          <a:xfrm>
            <a:off x="1295400" y="1289827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6" name="Straight Connector 1885">
            <a:extLst>
              <a:ext uri="{FF2B5EF4-FFF2-40B4-BE49-F238E27FC236}">
                <a16:creationId xmlns:a16="http://schemas.microsoft.com/office/drawing/2014/main" id="{6C1EDBA2-0C61-4B72-8189-EF581F99CE25}"/>
              </a:ext>
            </a:extLst>
          </xdr:cNvPr>
          <xdr:cNvCxnSpPr/>
        </xdr:nvCxnSpPr>
        <xdr:spPr>
          <a:xfrm>
            <a:off x="1214439" y="12921615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7" name="Straight Connector 1886">
            <a:extLst>
              <a:ext uri="{FF2B5EF4-FFF2-40B4-BE49-F238E27FC236}">
                <a16:creationId xmlns:a16="http://schemas.microsoft.com/office/drawing/2014/main" id="{F5B7FFFC-01E0-42FC-81A8-0D21E313BCC5}"/>
              </a:ext>
            </a:extLst>
          </xdr:cNvPr>
          <xdr:cNvCxnSpPr/>
        </xdr:nvCxnSpPr>
        <xdr:spPr>
          <a:xfrm flipH="1">
            <a:off x="1257302" y="1291780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8" name="Straight Connector 1887">
            <a:extLst>
              <a:ext uri="{FF2B5EF4-FFF2-40B4-BE49-F238E27FC236}">
                <a16:creationId xmlns:a16="http://schemas.microsoft.com/office/drawing/2014/main" id="{35757FE7-5833-4363-BBB8-44A1D49776F9}"/>
              </a:ext>
            </a:extLst>
          </xdr:cNvPr>
          <xdr:cNvCxnSpPr/>
        </xdr:nvCxnSpPr>
        <xdr:spPr>
          <a:xfrm>
            <a:off x="4857766" y="1289970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9" name="Straight Connector 1888">
            <a:extLst>
              <a:ext uri="{FF2B5EF4-FFF2-40B4-BE49-F238E27FC236}">
                <a16:creationId xmlns:a16="http://schemas.microsoft.com/office/drawing/2014/main" id="{A50EDF75-2AE4-46D7-BDD0-769E9673FA52}"/>
              </a:ext>
            </a:extLst>
          </xdr:cNvPr>
          <xdr:cNvCxnSpPr/>
        </xdr:nvCxnSpPr>
        <xdr:spPr>
          <a:xfrm flipH="1">
            <a:off x="4819668" y="1291780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13" name="Arc 1912">
            <a:extLst>
              <a:ext uri="{FF2B5EF4-FFF2-40B4-BE49-F238E27FC236}">
                <a16:creationId xmlns:a16="http://schemas.microsoft.com/office/drawing/2014/main" id="{105B17E9-8FC5-4D9B-AAF7-8DBC2884DD53}"/>
              </a:ext>
            </a:extLst>
          </xdr:cNvPr>
          <xdr:cNvSpPr/>
        </xdr:nvSpPr>
        <xdr:spPr>
          <a:xfrm rot="8054857">
            <a:off x="1028700" y="128177924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14" name="Arc 1913">
            <a:extLst>
              <a:ext uri="{FF2B5EF4-FFF2-40B4-BE49-F238E27FC236}">
                <a16:creationId xmlns:a16="http://schemas.microsoft.com/office/drawing/2014/main" id="{3B84D919-1844-4584-AC89-99E08CC92FA7}"/>
              </a:ext>
            </a:extLst>
          </xdr:cNvPr>
          <xdr:cNvSpPr/>
        </xdr:nvSpPr>
        <xdr:spPr>
          <a:xfrm rot="8054857">
            <a:off x="4600575" y="128182686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33</xdr:col>
      <xdr:colOff>152400</xdr:colOff>
      <xdr:row>895</xdr:row>
      <xdr:rowOff>0</xdr:rowOff>
    </xdr:from>
    <xdr:to>
      <xdr:col>62</xdr:col>
      <xdr:colOff>157162</xdr:colOff>
      <xdr:row>912</xdr:row>
      <xdr:rowOff>4762</xdr:rowOff>
    </xdr:to>
    <xdr:grpSp>
      <xdr:nvGrpSpPr>
        <xdr:cNvPr id="401" name="Group 400">
          <a:extLst>
            <a:ext uri="{FF2B5EF4-FFF2-40B4-BE49-F238E27FC236}">
              <a16:creationId xmlns:a16="http://schemas.microsoft.com/office/drawing/2014/main" id="{4E32F9F7-38D6-3A21-6D03-6E427339F1F0}"/>
            </a:ext>
          </a:extLst>
        </xdr:cNvPr>
        <xdr:cNvGrpSpPr/>
      </xdr:nvGrpSpPr>
      <xdr:grpSpPr>
        <a:xfrm>
          <a:off x="5495925" y="130073400"/>
          <a:ext cx="4700587" cy="2433637"/>
          <a:chOff x="5657850" y="130073400"/>
          <a:chExt cx="4700587" cy="2433637"/>
        </a:xfrm>
      </xdr:grpSpPr>
      <xdr:sp macro="" textlink="">
        <xdr:nvSpPr>
          <xdr:cNvPr id="1938" name="Freeform: Shape 1937">
            <a:extLst>
              <a:ext uri="{FF2B5EF4-FFF2-40B4-BE49-F238E27FC236}">
                <a16:creationId xmlns:a16="http://schemas.microsoft.com/office/drawing/2014/main" id="{5F5A9B86-105B-400D-BC9C-BBE0CA9DE84D}"/>
              </a:ext>
            </a:extLst>
          </xdr:cNvPr>
          <xdr:cNvSpPr/>
        </xdr:nvSpPr>
        <xdr:spPr>
          <a:xfrm>
            <a:off x="6319837" y="13007340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41" name="Freeform: Shape 1940">
            <a:extLst>
              <a:ext uri="{FF2B5EF4-FFF2-40B4-BE49-F238E27FC236}">
                <a16:creationId xmlns:a16="http://schemas.microsoft.com/office/drawing/2014/main" id="{1FFB4A4C-C66C-4CBE-A0B5-B9A1334E7366}"/>
              </a:ext>
            </a:extLst>
          </xdr:cNvPr>
          <xdr:cNvSpPr/>
        </xdr:nvSpPr>
        <xdr:spPr>
          <a:xfrm>
            <a:off x="7972424" y="130087687"/>
            <a:ext cx="2076450" cy="723900"/>
          </a:xfrm>
          <a:custGeom>
            <a:avLst/>
            <a:gdLst>
              <a:gd name="connsiteX0" fmla="*/ 119062 w 2076450"/>
              <a:gd name="connsiteY0" fmla="*/ 0 h 723900"/>
              <a:gd name="connsiteX1" fmla="*/ 0 w 2076450"/>
              <a:gd name="connsiteY1" fmla="*/ 300037 h 723900"/>
              <a:gd name="connsiteX2" fmla="*/ 2076450 w 2076450"/>
              <a:gd name="connsiteY2" fmla="*/ 285750 h 723900"/>
              <a:gd name="connsiteX3" fmla="*/ 1900237 w 2076450"/>
              <a:gd name="connsiteY3" fmla="*/ 7239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76450" h="723900">
                <a:moveTo>
                  <a:pt x="119062" y="0"/>
                </a:moveTo>
                <a:lnTo>
                  <a:pt x="0" y="300037"/>
                </a:lnTo>
                <a:lnTo>
                  <a:pt x="2076450" y="285750"/>
                </a:lnTo>
                <a:lnTo>
                  <a:pt x="1900237" y="7239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43" name="Freeform: Shape 1942">
            <a:extLst>
              <a:ext uri="{FF2B5EF4-FFF2-40B4-BE49-F238E27FC236}">
                <a16:creationId xmlns:a16="http://schemas.microsoft.com/office/drawing/2014/main" id="{A6276256-D829-4D98-98DA-FB0B6C0DAAA5}"/>
              </a:ext>
            </a:extLst>
          </xdr:cNvPr>
          <xdr:cNvSpPr/>
        </xdr:nvSpPr>
        <xdr:spPr>
          <a:xfrm>
            <a:off x="6148388" y="130073401"/>
            <a:ext cx="2066925" cy="704850"/>
          </a:xfrm>
          <a:custGeom>
            <a:avLst/>
            <a:gdLst>
              <a:gd name="connsiteX0" fmla="*/ 166688 w 2066925"/>
              <a:gd name="connsiteY0" fmla="*/ 704850 h 704850"/>
              <a:gd name="connsiteX1" fmla="*/ 0 w 2066925"/>
              <a:gd name="connsiteY1" fmla="*/ 290513 h 704850"/>
              <a:gd name="connsiteX2" fmla="*/ 2066925 w 2066925"/>
              <a:gd name="connsiteY2" fmla="*/ 290513 h 704850"/>
              <a:gd name="connsiteX3" fmla="*/ 1952625 w 2066925"/>
              <a:gd name="connsiteY3" fmla="*/ 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66925" h="704850">
                <a:moveTo>
                  <a:pt x="166688" y="704850"/>
                </a:moveTo>
                <a:lnTo>
                  <a:pt x="0" y="290513"/>
                </a:lnTo>
                <a:lnTo>
                  <a:pt x="2066925" y="290513"/>
                </a:lnTo>
                <a:lnTo>
                  <a:pt x="1952625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44" name="Freeform: Shape 1943">
            <a:extLst>
              <a:ext uri="{FF2B5EF4-FFF2-40B4-BE49-F238E27FC236}">
                <a16:creationId xmlns:a16="http://schemas.microsoft.com/office/drawing/2014/main" id="{835C60BB-6905-425C-9A4C-6317B5C55FE6}"/>
              </a:ext>
            </a:extLst>
          </xdr:cNvPr>
          <xdr:cNvSpPr/>
        </xdr:nvSpPr>
        <xdr:spPr>
          <a:xfrm>
            <a:off x="5657850" y="130787775"/>
            <a:ext cx="1304925" cy="1719262"/>
          </a:xfrm>
          <a:custGeom>
            <a:avLst/>
            <a:gdLst>
              <a:gd name="connsiteX0" fmla="*/ 661987 w 1304925"/>
              <a:gd name="connsiteY0" fmla="*/ 0 h 1728787"/>
              <a:gd name="connsiteX1" fmla="*/ 0 w 1304925"/>
              <a:gd name="connsiteY1" fmla="*/ 0 h 1728787"/>
              <a:gd name="connsiteX2" fmla="*/ 1304925 w 1304925"/>
              <a:gd name="connsiteY2" fmla="*/ 1728787 h 1728787"/>
              <a:gd name="connsiteX3" fmla="*/ 652462 w 1304925"/>
              <a:gd name="connsiteY3" fmla="*/ 1728787 h 17287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04925" h="1728787">
                <a:moveTo>
                  <a:pt x="661987" y="0"/>
                </a:moveTo>
                <a:lnTo>
                  <a:pt x="0" y="0"/>
                </a:lnTo>
                <a:lnTo>
                  <a:pt x="1304925" y="1728787"/>
                </a:lnTo>
                <a:lnTo>
                  <a:pt x="652462" y="172878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45" name="Freeform: Shape 1944">
            <a:extLst>
              <a:ext uri="{FF2B5EF4-FFF2-40B4-BE49-F238E27FC236}">
                <a16:creationId xmlns:a16="http://schemas.microsoft.com/office/drawing/2014/main" id="{DF3251C4-CD2E-4D5A-8ED1-1044CF106508}"/>
              </a:ext>
            </a:extLst>
          </xdr:cNvPr>
          <xdr:cNvSpPr/>
        </xdr:nvSpPr>
        <xdr:spPr>
          <a:xfrm>
            <a:off x="9386887" y="130797298"/>
            <a:ext cx="971550" cy="1704976"/>
          </a:xfrm>
          <a:custGeom>
            <a:avLst/>
            <a:gdLst>
              <a:gd name="connsiteX0" fmla="*/ 485775 w 971550"/>
              <a:gd name="connsiteY0" fmla="*/ 0 h 1700212"/>
              <a:gd name="connsiteX1" fmla="*/ 971550 w 971550"/>
              <a:gd name="connsiteY1" fmla="*/ 0 h 1700212"/>
              <a:gd name="connsiteX2" fmla="*/ 0 w 971550"/>
              <a:gd name="connsiteY2" fmla="*/ 1700212 h 1700212"/>
              <a:gd name="connsiteX3" fmla="*/ 490538 w 971550"/>
              <a:gd name="connsiteY3" fmla="*/ 1700212 h 17002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71550" h="1700212">
                <a:moveTo>
                  <a:pt x="485775" y="0"/>
                </a:moveTo>
                <a:lnTo>
                  <a:pt x="971550" y="0"/>
                </a:lnTo>
                <a:lnTo>
                  <a:pt x="0" y="1700212"/>
                </a:lnTo>
                <a:lnTo>
                  <a:pt x="490538" y="170021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35</xdr:col>
      <xdr:colOff>85725</xdr:colOff>
      <xdr:row>919</xdr:row>
      <xdr:rowOff>138112</xdr:rowOff>
    </xdr:from>
    <xdr:to>
      <xdr:col>62</xdr:col>
      <xdr:colOff>9525</xdr:colOff>
      <xdr:row>939</xdr:row>
      <xdr:rowOff>4762</xdr:rowOff>
    </xdr:to>
    <xdr:grpSp>
      <xdr:nvGrpSpPr>
        <xdr:cNvPr id="403" name="Group 402">
          <a:extLst>
            <a:ext uri="{FF2B5EF4-FFF2-40B4-BE49-F238E27FC236}">
              <a16:creationId xmlns:a16="http://schemas.microsoft.com/office/drawing/2014/main" id="{F5233FEB-1FF4-EE3B-116A-4585BA017D36}"/>
            </a:ext>
          </a:extLst>
        </xdr:cNvPr>
        <xdr:cNvGrpSpPr/>
      </xdr:nvGrpSpPr>
      <xdr:grpSpPr>
        <a:xfrm>
          <a:off x="5753100" y="133640512"/>
          <a:ext cx="4295775" cy="2724150"/>
          <a:chOff x="5915025" y="133640512"/>
          <a:chExt cx="4295775" cy="2724150"/>
        </a:xfrm>
      </xdr:grpSpPr>
      <xdr:sp macro="" textlink="">
        <xdr:nvSpPr>
          <xdr:cNvPr id="1968" name="Freeform: Shape 1967">
            <a:extLst>
              <a:ext uri="{FF2B5EF4-FFF2-40B4-BE49-F238E27FC236}">
                <a16:creationId xmlns:a16="http://schemas.microsoft.com/office/drawing/2014/main" id="{FA314D94-C1AE-4AA6-A3C7-03362A63E9F8}"/>
              </a:ext>
            </a:extLst>
          </xdr:cNvPr>
          <xdr:cNvSpPr/>
        </xdr:nvSpPr>
        <xdr:spPr>
          <a:xfrm>
            <a:off x="6319837" y="13393102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70" name="Freeform: Shape 1969">
            <a:extLst>
              <a:ext uri="{FF2B5EF4-FFF2-40B4-BE49-F238E27FC236}">
                <a16:creationId xmlns:a16="http://schemas.microsoft.com/office/drawing/2014/main" id="{7B3F3434-8D2E-4A16-AA05-535819A1F04E}"/>
              </a:ext>
            </a:extLst>
          </xdr:cNvPr>
          <xdr:cNvSpPr/>
        </xdr:nvSpPr>
        <xdr:spPr>
          <a:xfrm>
            <a:off x="6319838" y="133640512"/>
            <a:ext cx="1776413" cy="1409700"/>
          </a:xfrm>
          <a:custGeom>
            <a:avLst/>
            <a:gdLst>
              <a:gd name="connsiteX0" fmla="*/ 0 w 1776413"/>
              <a:gd name="connsiteY0" fmla="*/ 1000125 h 1409700"/>
              <a:gd name="connsiteX1" fmla="*/ 161925 w 1776413"/>
              <a:gd name="connsiteY1" fmla="*/ 1409700 h 1409700"/>
              <a:gd name="connsiteX2" fmla="*/ 1662113 w 1776413"/>
              <a:gd name="connsiteY2" fmla="*/ 0 h 1409700"/>
              <a:gd name="connsiteX3" fmla="*/ 1776413 w 1776413"/>
              <a:gd name="connsiteY3" fmla="*/ 290513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76413" h="1409700">
                <a:moveTo>
                  <a:pt x="0" y="1000125"/>
                </a:moveTo>
                <a:lnTo>
                  <a:pt x="161925" y="1409700"/>
                </a:lnTo>
                <a:lnTo>
                  <a:pt x="1662113" y="0"/>
                </a:lnTo>
                <a:lnTo>
                  <a:pt x="1776413" y="2905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71" name="Freeform: Shape 1970">
            <a:extLst>
              <a:ext uri="{FF2B5EF4-FFF2-40B4-BE49-F238E27FC236}">
                <a16:creationId xmlns:a16="http://schemas.microsoft.com/office/drawing/2014/main" id="{F10A0D75-C227-47A8-B661-F32815E6BC11}"/>
              </a:ext>
            </a:extLst>
          </xdr:cNvPr>
          <xdr:cNvSpPr/>
        </xdr:nvSpPr>
        <xdr:spPr>
          <a:xfrm>
            <a:off x="8091488" y="133650037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988" name="Straight Connector 1987">
            <a:extLst>
              <a:ext uri="{FF2B5EF4-FFF2-40B4-BE49-F238E27FC236}">
                <a16:creationId xmlns:a16="http://schemas.microsoft.com/office/drawing/2014/main" id="{7DE7E407-49D0-4ED5-BDB2-51A63A618516}"/>
              </a:ext>
            </a:extLst>
          </xdr:cNvPr>
          <xdr:cNvCxnSpPr/>
        </xdr:nvCxnSpPr>
        <xdr:spPr>
          <a:xfrm>
            <a:off x="6324601" y="134645401"/>
            <a:ext cx="31432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0" name="Freeform: Shape 1989">
            <a:extLst>
              <a:ext uri="{FF2B5EF4-FFF2-40B4-BE49-F238E27FC236}">
                <a16:creationId xmlns:a16="http://schemas.microsoft.com/office/drawing/2014/main" id="{791140BD-3C64-4CA4-BF81-15B08411C3E6}"/>
              </a:ext>
            </a:extLst>
          </xdr:cNvPr>
          <xdr:cNvSpPr/>
        </xdr:nvSpPr>
        <xdr:spPr>
          <a:xfrm>
            <a:off x="5915025" y="134645400"/>
            <a:ext cx="1005044" cy="1719262"/>
          </a:xfrm>
          <a:custGeom>
            <a:avLst/>
            <a:gdLst>
              <a:gd name="connsiteX0" fmla="*/ 719138 w 1005044"/>
              <a:gd name="connsiteY0" fmla="*/ 0 h 1719262"/>
              <a:gd name="connsiteX1" fmla="*/ 966788 w 1005044"/>
              <a:gd name="connsiteY1" fmla="*/ 614362 h 1719262"/>
              <a:gd name="connsiteX2" fmla="*/ 0 w 1005044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5044" h="1719262">
                <a:moveTo>
                  <a:pt x="719138" y="0"/>
                </a:moveTo>
                <a:cubicBezTo>
                  <a:pt x="902891" y="163909"/>
                  <a:pt x="1086644" y="327818"/>
                  <a:pt x="966788" y="614362"/>
                </a:cubicBezTo>
                <a:cubicBezTo>
                  <a:pt x="846932" y="900906"/>
                  <a:pt x="423466" y="1310084"/>
                  <a:pt x="0" y="1719262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992" name="Straight Connector 1991">
            <a:extLst>
              <a:ext uri="{FF2B5EF4-FFF2-40B4-BE49-F238E27FC236}">
                <a16:creationId xmlns:a16="http://schemas.microsoft.com/office/drawing/2014/main" id="{D358D796-70DA-4551-A4EF-64BC535B3261}"/>
              </a:ext>
            </a:extLst>
          </xdr:cNvPr>
          <xdr:cNvCxnSpPr/>
        </xdr:nvCxnSpPr>
        <xdr:spPr>
          <a:xfrm>
            <a:off x="5915026" y="136359901"/>
            <a:ext cx="40481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4" name="Freeform: Shape 1993">
            <a:extLst>
              <a:ext uri="{FF2B5EF4-FFF2-40B4-BE49-F238E27FC236}">
                <a16:creationId xmlns:a16="http://schemas.microsoft.com/office/drawing/2014/main" id="{E7F9552F-8845-214E-E4FB-6C8D30FFEAAC}"/>
              </a:ext>
            </a:extLst>
          </xdr:cNvPr>
          <xdr:cNvSpPr/>
        </xdr:nvSpPr>
        <xdr:spPr>
          <a:xfrm>
            <a:off x="9386888" y="134654925"/>
            <a:ext cx="823912" cy="1700213"/>
          </a:xfrm>
          <a:custGeom>
            <a:avLst/>
            <a:gdLst>
              <a:gd name="connsiteX0" fmla="*/ 490537 w 823912"/>
              <a:gd name="connsiteY0" fmla="*/ 0 h 1700213"/>
              <a:gd name="connsiteX1" fmla="*/ 823912 w 823912"/>
              <a:gd name="connsiteY1" fmla="*/ 0 h 1700213"/>
              <a:gd name="connsiteX2" fmla="*/ 0 w 823912"/>
              <a:gd name="connsiteY2" fmla="*/ 1700213 h 1700213"/>
              <a:gd name="connsiteX3" fmla="*/ 490537 w 823912"/>
              <a:gd name="connsiteY3" fmla="*/ 1700213 h 1700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23912" h="1700213">
                <a:moveTo>
                  <a:pt x="490537" y="0"/>
                </a:moveTo>
                <a:lnTo>
                  <a:pt x="823912" y="0"/>
                </a:lnTo>
                <a:lnTo>
                  <a:pt x="0" y="1700213"/>
                </a:lnTo>
                <a:lnTo>
                  <a:pt x="490537" y="17002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891</xdr:row>
      <xdr:rowOff>138113</xdr:rowOff>
    </xdr:from>
    <xdr:to>
      <xdr:col>32</xdr:col>
      <xdr:colOff>4762</xdr:colOff>
      <xdr:row>918</xdr:row>
      <xdr:rowOff>66675</xdr:rowOff>
    </xdr:to>
    <xdr:grpSp>
      <xdr:nvGrpSpPr>
        <xdr:cNvPr id="400" name="Group 399">
          <a:extLst>
            <a:ext uri="{FF2B5EF4-FFF2-40B4-BE49-F238E27FC236}">
              <a16:creationId xmlns:a16="http://schemas.microsoft.com/office/drawing/2014/main" id="{35C64A34-F3B1-841C-C1BA-4ABD85C9CB7D}"/>
            </a:ext>
          </a:extLst>
        </xdr:cNvPr>
        <xdr:cNvGrpSpPr/>
      </xdr:nvGrpSpPr>
      <xdr:grpSpPr>
        <a:xfrm>
          <a:off x="404814" y="129640013"/>
          <a:ext cx="4781548" cy="3786187"/>
          <a:chOff x="566739" y="129640013"/>
          <a:chExt cx="4781548" cy="3786187"/>
        </a:xfrm>
      </xdr:grpSpPr>
      <xdr:sp macro="" textlink="">
        <xdr:nvSpPr>
          <xdr:cNvPr id="1915" name="Freeform: Shape 1914">
            <a:extLst>
              <a:ext uri="{FF2B5EF4-FFF2-40B4-BE49-F238E27FC236}">
                <a16:creationId xmlns:a16="http://schemas.microsoft.com/office/drawing/2014/main" id="{BC59363D-1C0C-4C8F-9B04-8E7D5C2787F4}"/>
              </a:ext>
            </a:extLst>
          </xdr:cNvPr>
          <xdr:cNvSpPr/>
        </xdr:nvSpPr>
        <xdr:spPr>
          <a:xfrm>
            <a:off x="1300162" y="13007816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5A67D463-B410-4E90-A171-68221DD52F8D}"/>
              </a:ext>
            </a:extLst>
          </xdr:cNvPr>
          <xdr:cNvSpPr/>
        </xdr:nvSpPr>
        <xdr:spPr>
          <a:xfrm>
            <a:off x="1138238" y="1325070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19" name="Straight Connector 1918">
            <a:extLst>
              <a:ext uri="{FF2B5EF4-FFF2-40B4-BE49-F238E27FC236}">
                <a16:creationId xmlns:a16="http://schemas.microsoft.com/office/drawing/2014/main" id="{DAE1E77F-AA0D-441A-834A-A36C045F3D97}"/>
              </a:ext>
            </a:extLst>
          </xdr:cNvPr>
          <xdr:cNvCxnSpPr/>
        </xdr:nvCxnSpPr>
        <xdr:spPr>
          <a:xfrm>
            <a:off x="1133475" y="1325022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28185B92-903C-4ABB-8C36-5FC800AA7B80}"/>
              </a:ext>
            </a:extLst>
          </xdr:cNvPr>
          <xdr:cNvSpPr/>
        </xdr:nvSpPr>
        <xdr:spPr>
          <a:xfrm>
            <a:off x="4700588" y="1325117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21" name="Straight Connector 1920">
            <a:extLst>
              <a:ext uri="{FF2B5EF4-FFF2-40B4-BE49-F238E27FC236}">
                <a16:creationId xmlns:a16="http://schemas.microsoft.com/office/drawing/2014/main" id="{7E309EEE-3924-490E-AA35-A79123989E1B}"/>
              </a:ext>
            </a:extLst>
          </xdr:cNvPr>
          <xdr:cNvCxnSpPr/>
        </xdr:nvCxnSpPr>
        <xdr:spPr>
          <a:xfrm>
            <a:off x="4695825" y="1325070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2" name="Straight Connector 1921">
            <a:extLst>
              <a:ext uri="{FF2B5EF4-FFF2-40B4-BE49-F238E27FC236}">
                <a16:creationId xmlns:a16="http://schemas.microsoft.com/office/drawing/2014/main" id="{4563BF6A-1438-4345-9F18-41A04DC4A7E8}"/>
              </a:ext>
            </a:extLst>
          </xdr:cNvPr>
          <xdr:cNvCxnSpPr/>
        </xdr:nvCxnSpPr>
        <xdr:spPr>
          <a:xfrm>
            <a:off x="566739" y="13250227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3" name="Straight Connector 1922">
            <a:extLst>
              <a:ext uri="{FF2B5EF4-FFF2-40B4-BE49-F238E27FC236}">
                <a16:creationId xmlns:a16="http://schemas.microsoft.com/office/drawing/2014/main" id="{11650FEB-A27A-4255-AD4F-28F04B27E454}"/>
              </a:ext>
            </a:extLst>
          </xdr:cNvPr>
          <xdr:cNvCxnSpPr/>
        </xdr:nvCxnSpPr>
        <xdr:spPr>
          <a:xfrm flipH="1">
            <a:off x="609601" y="1324641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Straight Arrow Connector 1923">
            <a:extLst>
              <a:ext uri="{FF2B5EF4-FFF2-40B4-BE49-F238E27FC236}">
                <a16:creationId xmlns:a16="http://schemas.microsoft.com/office/drawing/2014/main" id="{CCD2DC89-A49F-4122-9BB0-3F20CB587680}"/>
              </a:ext>
            </a:extLst>
          </xdr:cNvPr>
          <xdr:cNvCxnSpPr/>
        </xdr:nvCxnSpPr>
        <xdr:spPr>
          <a:xfrm flipV="1">
            <a:off x="1295400" y="1326260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5" name="Straight Arrow Connector 1924">
            <a:extLst>
              <a:ext uri="{FF2B5EF4-FFF2-40B4-BE49-F238E27FC236}">
                <a16:creationId xmlns:a16="http://schemas.microsoft.com/office/drawing/2014/main" id="{BA1459B6-2298-4F4C-B609-31DFC9A03DEB}"/>
              </a:ext>
            </a:extLst>
          </xdr:cNvPr>
          <xdr:cNvCxnSpPr/>
        </xdr:nvCxnSpPr>
        <xdr:spPr>
          <a:xfrm flipV="1">
            <a:off x="4857750" y="1326260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6" name="Straight Arrow Connector 1925">
            <a:extLst>
              <a:ext uri="{FF2B5EF4-FFF2-40B4-BE49-F238E27FC236}">
                <a16:creationId xmlns:a16="http://schemas.microsoft.com/office/drawing/2014/main" id="{0FAD2C77-9D64-4812-92CD-0A333C97F0EC}"/>
              </a:ext>
            </a:extLst>
          </xdr:cNvPr>
          <xdr:cNvCxnSpPr/>
        </xdr:nvCxnSpPr>
        <xdr:spPr>
          <a:xfrm>
            <a:off x="823913" y="13250226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Straight Arrow Connector 1926">
            <a:extLst>
              <a:ext uri="{FF2B5EF4-FFF2-40B4-BE49-F238E27FC236}">
                <a16:creationId xmlns:a16="http://schemas.microsoft.com/office/drawing/2014/main" id="{5CDEB37C-30EC-4CA4-AD9E-BD7C00AF6872}"/>
              </a:ext>
            </a:extLst>
          </xdr:cNvPr>
          <xdr:cNvCxnSpPr/>
        </xdr:nvCxnSpPr>
        <xdr:spPr>
          <a:xfrm flipH="1">
            <a:off x="5038724" y="1325022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8" name="Straight Connector 1927">
            <a:extLst>
              <a:ext uri="{FF2B5EF4-FFF2-40B4-BE49-F238E27FC236}">
                <a16:creationId xmlns:a16="http://schemas.microsoft.com/office/drawing/2014/main" id="{EF259E4F-B811-4620-AA98-67499B4D9922}"/>
              </a:ext>
            </a:extLst>
          </xdr:cNvPr>
          <xdr:cNvCxnSpPr/>
        </xdr:nvCxnSpPr>
        <xdr:spPr>
          <a:xfrm flipV="1">
            <a:off x="647700" y="13000672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Connector 1928">
            <a:extLst>
              <a:ext uri="{FF2B5EF4-FFF2-40B4-BE49-F238E27FC236}">
                <a16:creationId xmlns:a16="http://schemas.microsoft.com/office/drawing/2014/main" id="{9D723139-21CF-4BE7-9AC9-271D7BC02986}"/>
              </a:ext>
            </a:extLst>
          </xdr:cNvPr>
          <xdr:cNvCxnSpPr/>
        </xdr:nvCxnSpPr>
        <xdr:spPr>
          <a:xfrm>
            <a:off x="581025" y="130073401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Connector 1929">
            <a:extLst>
              <a:ext uri="{FF2B5EF4-FFF2-40B4-BE49-F238E27FC236}">
                <a16:creationId xmlns:a16="http://schemas.microsoft.com/office/drawing/2014/main" id="{4E4F3A64-FEC2-4708-A036-BC77777E12E4}"/>
              </a:ext>
            </a:extLst>
          </xdr:cNvPr>
          <xdr:cNvCxnSpPr/>
        </xdr:nvCxnSpPr>
        <xdr:spPr>
          <a:xfrm flipH="1">
            <a:off x="614363" y="1300448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1" name="Straight Connector 1930">
            <a:extLst>
              <a:ext uri="{FF2B5EF4-FFF2-40B4-BE49-F238E27FC236}">
                <a16:creationId xmlns:a16="http://schemas.microsoft.com/office/drawing/2014/main" id="{B4AA9A10-EE49-4BB2-9CCF-AB919BEEF1FF}"/>
              </a:ext>
            </a:extLst>
          </xdr:cNvPr>
          <xdr:cNvCxnSpPr/>
        </xdr:nvCxnSpPr>
        <xdr:spPr>
          <a:xfrm>
            <a:off x="581025" y="130787776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2" name="Straight Connector 1931">
            <a:extLst>
              <a:ext uri="{FF2B5EF4-FFF2-40B4-BE49-F238E27FC236}">
                <a16:creationId xmlns:a16="http://schemas.microsoft.com/office/drawing/2014/main" id="{ECB08674-0172-46A7-AE1D-CFFC2B603EFE}"/>
              </a:ext>
            </a:extLst>
          </xdr:cNvPr>
          <xdr:cNvCxnSpPr/>
        </xdr:nvCxnSpPr>
        <xdr:spPr>
          <a:xfrm flipH="1">
            <a:off x="614363" y="1307592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Connector 1932">
            <a:extLst>
              <a:ext uri="{FF2B5EF4-FFF2-40B4-BE49-F238E27FC236}">
                <a16:creationId xmlns:a16="http://schemas.microsoft.com/office/drawing/2014/main" id="{3E128182-673A-4956-9F61-1393DB56428E}"/>
              </a:ext>
            </a:extLst>
          </xdr:cNvPr>
          <xdr:cNvCxnSpPr/>
        </xdr:nvCxnSpPr>
        <xdr:spPr>
          <a:xfrm>
            <a:off x="1295400" y="1331261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Connector 1933">
            <a:extLst>
              <a:ext uri="{FF2B5EF4-FFF2-40B4-BE49-F238E27FC236}">
                <a16:creationId xmlns:a16="http://schemas.microsoft.com/office/drawing/2014/main" id="{23807BA5-52BE-4D58-8F4D-DFA448061335}"/>
              </a:ext>
            </a:extLst>
          </xdr:cNvPr>
          <xdr:cNvCxnSpPr/>
        </xdr:nvCxnSpPr>
        <xdr:spPr>
          <a:xfrm>
            <a:off x="1214439" y="13335952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Connector 1934">
            <a:extLst>
              <a:ext uri="{FF2B5EF4-FFF2-40B4-BE49-F238E27FC236}">
                <a16:creationId xmlns:a16="http://schemas.microsoft.com/office/drawing/2014/main" id="{5F6CB4A4-38B0-4C24-BC4A-8DC60C2C1BA0}"/>
              </a:ext>
            </a:extLst>
          </xdr:cNvPr>
          <xdr:cNvCxnSpPr/>
        </xdr:nvCxnSpPr>
        <xdr:spPr>
          <a:xfrm flipH="1">
            <a:off x="1257302" y="1333214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Connector 1935">
            <a:extLst>
              <a:ext uri="{FF2B5EF4-FFF2-40B4-BE49-F238E27FC236}">
                <a16:creationId xmlns:a16="http://schemas.microsoft.com/office/drawing/2014/main" id="{F8966966-9CF1-4E6B-88C2-7504CE0E51CA}"/>
              </a:ext>
            </a:extLst>
          </xdr:cNvPr>
          <xdr:cNvCxnSpPr/>
        </xdr:nvCxnSpPr>
        <xdr:spPr>
          <a:xfrm>
            <a:off x="4857766" y="1331404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7" name="Straight Connector 1936">
            <a:extLst>
              <a:ext uri="{FF2B5EF4-FFF2-40B4-BE49-F238E27FC236}">
                <a16:creationId xmlns:a16="http://schemas.microsoft.com/office/drawing/2014/main" id="{CE0524F2-AC7B-48A4-ACFF-A6522C6247AB}"/>
              </a:ext>
            </a:extLst>
          </xdr:cNvPr>
          <xdr:cNvCxnSpPr/>
        </xdr:nvCxnSpPr>
        <xdr:spPr>
          <a:xfrm flipH="1">
            <a:off x="4819668" y="1333214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2" name="Straight Arrow Connector 1941">
            <a:extLst>
              <a:ext uri="{FF2B5EF4-FFF2-40B4-BE49-F238E27FC236}">
                <a16:creationId xmlns:a16="http://schemas.microsoft.com/office/drawing/2014/main" id="{C987BD7A-B7D2-4F73-B0D4-C0C896B45454}"/>
              </a:ext>
            </a:extLst>
          </xdr:cNvPr>
          <xdr:cNvCxnSpPr/>
        </xdr:nvCxnSpPr>
        <xdr:spPr>
          <a:xfrm>
            <a:off x="3081338" y="129640013"/>
            <a:ext cx="0" cy="4286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5" name="Arc 1994">
            <a:extLst>
              <a:ext uri="{FF2B5EF4-FFF2-40B4-BE49-F238E27FC236}">
                <a16:creationId xmlns:a16="http://schemas.microsoft.com/office/drawing/2014/main" id="{B793C4D3-E11D-4BFE-90F2-86493EFAC0A1}"/>
              </a:ext>
            </a:extLst>
          </xdr:cNvPr>
          <xdr:cNvSpPr/>
        </xdr:nvSpPr>
        <xdr:spPr>
          <a:xfrm rot="8054857">
            <a:off x="1019175" y="132330825"/>
            <a:ext cx="525198" cy="525198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96" name="Arc 1995">
            <a:extLst>
              <a:ext uri="{FF2B5EF4-FFF2-40B4-BE49-F238E27FC236}">
                <a16:creationId xmlns:a16="http://schemas.microsoft.com/office/drawing/2014/main" id="{FC6F04EE-14C5-4487-BCB0-A7BCAB5454ED}"/>
              </a:ext>
            </a:extLst>
          </xdr:cNvPr>
          <xdr:cNvSpPr/>
        </xdr:nvSpPr>
        <xdr:spPr>
          <a:xfrm rot="8054857">
            <a:off x="4591050" y="132335587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80964</xdr:colOff>
      <xdr:row>921</xdr:row>
      <xdr:rowOff>76200</xdr:rowOff>
    </xdr:from>
    <xdr:to>
      <xdr:col>32</xdr:col>
      <xdr:colOff>4762</xdr:colOff>
      <xdr:row>945</xdr:row>
      <xdr:rowOff>66675</xdr:rowOff>
    </xdr:to>
    <xdr:grpSp>
      <xdr:nvGrpSpPr>
        <xdr:cNvPr id="402" name="Group 401">
          <a:extLst>
            <a:ext uri="{FF2B5EF4-FFF2-40B4-BE49-F238E27FC236}">
              <a16:creationId xmlns:a16="http://schemas.microsoft.com/office/drawing/2014/main" id="{34C2B4BE-D1F1-F6F2-311B-AF1F97D4F1C2}"/>
            </a:ext>
          </a:extLst>
        </xdr:cNvPr>
        <xdr:cNvGrpSpPr/>
      </xdr:nvGrpSpPr>
      <xdr:grpSpPr>
        <a:xfrm>
          <a:off x="404814" y="133864350"/>
          <a:ext cx="4781548" cy="3419475"/>
          <a:chOff x="566739" y="133864350"/>
          <a:chExt cx="4781548" cy="3419475"/>
        </a:xfrm>
      </xdr:grpSpPr>
      <xdr:sp macro="" textlink="">
        <xdr:nvSpPr>
          <xdr:cNvPr id="1946" name="Freeform: Shape 1945">
            <a:extLst>
              <a:ext uri="{FF2B5EF4-FFF2-40B4-BE49-F238E27FC236}">
                <a16:creationId xmlns:a16="http://schemas.microsoft.com/office/drawing/2014/main" id="{8B443359-7A80-4DC8-BE8A-517E9CFBE214}"/>
              </a:ext>
            </a:extLst>
          </xdr:cNvPr>
          <xdr:cNvSpPr/>
        </xdr:nvSpPr>
        <xdr:spPr>
          <a:xfrm>
            <a:off x="1300162" y="13393578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0B1BE8D8-4534-4E7A-90DD-16AC47895370}"/>
              </a:ext>
            </a:extLst>
          </xdr:cNvPr>
          <xdr:cNvSpPr/>
        </xdr:nvSpPr>
        <xdr:spPr>
          <a:xfrm>
            <a:off x="1138238" y="1363646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50" name="Straight Connector 1949">
            <a:extLst>
              <a:ext uri="{FF2B5EF4-FFF2-40B4-BE49-F238E27FC236}">
                <a16:creationId xmlns:a16="http://schemas.microsoft.com/office/drawing/2014/main" id="{3FCC95DE-69CD-4276-9D05-769436F7C01A}"/>
              </a:ext>
            </a:extLst>
          </xdr:cNvPr>
          <xdr:cNvCxnSpPr/>
        </xdr:nvCxnSpPr>
        <xdr:spPr>
          <a:xfrm>
            <a:off x="1133475" y="1363598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94FA4DE3-D65E-4250-AEF4-C13DF88A123F}"/>
              </a:ext>
            </a:extLst>
          </xdr:cNvPr>
          <xdr:cNvSpPr/>
        </xdr:nvSpPr>
        <xdr:spPr>
          <a:xfrm>
            <a:off x="4700588" y="1363694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52" name="Straight Connector 1951">
            <a:extLst>
              <a:ext uri="{FF2B5EF4-FFF2-40B4-BE49-F238E27FC236}">
                <a16:creationId xmlns:a16="http://schemas.microsoft.com/office/drawing/2014/main" id="{4910D106-8FC3-4E2D-AB03-EB15C23BB07F}"/>
              </a:ext>
            </a:extLst>
          </xdr:cNvPr>
          <xdr:cNvCxnSpPr/>
        </xdr:nvCxnSpPr>
        <xdr:spPr>
          <a:xfrm>
            <a:off x="4695825" y="1363646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3" name="Straight Connector 1952">
            <a:extLst>
              <a:ext uri="{FF2B5EF4-FFF2-40B4-BE49-F238E27FC236}">
                <a16:creationId xmlns:a16="http://schemas.microsoft.com/office/drawing/2014/main" id="{CA3F431F-06CE-49DE-8308-91F2A3D71C9A}"/>
              </a:ext>
            </a:extLst>
          </xdr:cNvPr>
          <xdr:cNvCxnSpPr/>
        </xdr:nvCxnSpPr>
        <xdr:spPr>
          <a:xfrm>
            <a:off x="566739" y="136359901"/>
            <a:ext cx="3286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4" name="Straight Connector 1953">
            <a:extLst>
              <a:ext uri="{FF2B5EF4-FFF2-40B4-BE49-F238E27FC236}">
                <a16:creationId xmlns:a16="http://schemas.microsoft.com/office/drawing/2014/main" id="{F6963339-6691-4960-A1CB-9ABAC2CDDB2F}"/>
              </a:ext>
            </a:extLst>
          </xdr:cNvPr>
          <xdr:cNvCxnSpPr/>
        </xdr:nvCxnSpPr>
        <xdr:spPr>
          <a:xfrm flipH="1">
            <a:off x="604839" y="13632656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5" name="Straight Arrow Connector 1954">
            <a:extLst>
              <a:ext uri="{FF2B5EF4-FFF2-40B4-BE49-F238E27FC236}">
                <a16:creationId xmlns:a16="http://schemas.microsoft.com/office/drawing/2014/main" id="{AF478F27-51D1-4821-9FDD-6EBE9FA22182}"/>
              </a:ext>
            </a:extLst>
          </xdr:cNvPr>
          <xdr:cNvCxnSpPr/>
        </xdr:nvCxnSpPr>
        <xdr:spPr>
          <a:xfrm flipV="1">
            <a:off x="1295400" y="13648371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6" name="Straight Arrow Connector 1955">
            <a:extLst>
              <a:ext uri="{FF2B5EF4-FFF2-40B4-BE49-F238E27FC236}">
                <a16:creationId xmlns:a16="http://schemas.microsoft.com/office/drawing/2014/main" id="{E689F5B4-AE90-42A8-B53A-551EBC97C556}"/>
              </a:ext>
            </a:extLst>
          </xdr:cNvPr>
          <xdr:cNvCxnSpPr/>
        </xdr:nvCxnSpPr>
        <xdr:spPr>
          <a:xfrm flipV="1">
            <a:off x="4857750" y="1364837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7" name="Straight Arrow Connector 1956">
            <a:extLst>
              <a:ext uri="{FF2B5EF4-FFF2-40B4-BE49-F238E27FC236}">
                <a16:creationId xmlns:a16="http://schemas.microsoft.com/office/drawing/2014/main" id="{8585E05E-8EDF-432C-9B8F-3D29051B5EAB}"/>
              </a:ext>
            </a:extLst>
          </xdr:cNvPr>
          <xdr:cNvCxnSpPr/>
        </xdr:nvCxnSpPr>
        <xdr:spPr>
          <a:xfrm flipH="1">
            <a:off x="5038724" y="1363599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8" name="Straight Connector 1957">
            <a:extLst>
              <a:ext uri="{FF2B5EF4-FFF2-40B4-BE49-F238E27FC236}">
                <a16:creationId xmlns:a16="http://schemas.microsoft.com/office/drawing/2014/main" id="{B2D9C1F6-00EC-4FA9-9926-420FAC0CCC6A}"/>
              </a:ext>
            </a:extLst>
          </xdr:cNvPr>
          <xdr:cNvCxnSpPr/>
        </xdr:nvCxnSpPr>
        <xdr:spPr>
          <a:xfrm flipV="1">
            <a:off x="647700" y="13386435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9" name="Straight Connector 1958">
            <a:extLst>
              <a:ext uri="{FF2B5EF4-FFF2-40B4-BE49-F238E27FC236}">
                <a16:creationId xmlns:a16="http://schemas.microsoft.com/office/drawing/2014/main" id="{0253B48D-ACE0-4CAB-AC89-E1C3888E7D80}"/>
              </a:ext>
            </a:extLst>
          </xdr:cNvPr>
          <xdr:cNvCxnSpPr/>
        </xdr:nvCxnSpPr>
        <xdr:spPr>
          <a:xfrm>
            <a:off x="581025" y="13393102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0" name="Straight Connector 1959">
            <a:extLst>
              <a:ext uri="{FF2B5EF4-FFF2-40B4-BE49-F238E27FC236}">
                <a16:creationId xmlns:a16="http://schemas.microsoft.com/office/drawing/2014/main" id="{B3E4F9DD-557B-4102-8B52-BF80C334263F}"/>
              </a:ext>
            </a:extLst>
          </xdr:cNvPr>
          <xdr:cNvCxnSpPr/>
        </xdr:nvCxnSpPr>
        <xdr:spPr>
          <a:xfrm flipH="1">
            <a:off x="614363" y="1339024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1" name="Straight Connector 1960">
            <a:extLst>
              <a:ext uri="{FF2B5EF4-FFF2-40B4-BE49-F238E27FC236}">
                <a16:creationId xmlns:a16="http://schemas.microsoft.com/office/drawing/2014/main" id="{500E0648-3CB8-4929-9084-D9F5ABB77B2B}"/>
              </a:ext>
            </a:extLst>
          </xdr:cNvPr>
          <xdr:cNvCxnSpPr/>
        </xdr:nvCxnSpPr>
        <xdr:spPr>
          <a:xfrm>
            <a:off x="581025" y="134645401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2" name="Straight Connector 1961">
            <a:extLst>
              <a:ext uri="{FF2B5EF4-FFF2-40B4-BE49-F238E27FC236}">
                <a16:creationId xmlns:a16="http://schemas.microsoft.com/office/drawing/2014/main" id="{4BCD070F-104C-4167-A37F-0A8F3C249A09}"/>
              </a:ext>
            </a:extLst>
          </xdr:cNvPr>
          <xdr:cNvCxnSpPr/>
        </xdr:nvCxnSpPr>
        <xdr:spPr>
          <a:xfrm flipH="1">
            <a:off x="614363" y="1346168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3" name="Straight Connector 1962">
            <a:extLst>
              <a:ext uri="{FF2B5EF4-FFF2-40B4-BE49-F238E27FC236}">
                <a16:creationId xmlns:a16="http://schemas.microsoft.com/office/drawing/2014/main" id="{BBAC7F77-CD78-41DE-A4B6-159B88DC73A6}"/>
              </a:ext>
            </a:extLst>
          </xdr:cNvPr>
          <xdr:cNvCxnSpPr/>
        </xdr:nvCxnSpPr>
        <xdr:spPr>
          <a:xfrm>
            <a:off x="1295400" y="1369837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4" name="Straight Connector 1963">
            <a:extLst>
              <a:ext uri="{FF2B5EF4-FFF2-40B4-BE49-F238E27FC236}">
                <a16:creationId xmlns:a16="http://schemas.microsoft.com/office/drawing/2014/main" id="{20F99897-72FB-4FCB-9BBA-6B090FA1121E}"/>
              </a:ext>
            </a:extLst>
          </xdr:cNvPr>
          <xdr:cNvCxnSpPr/>
        </xdr:nvCxnSpPr>
        <xdr:spPr>
          <a:xfrm>
            <a:off x="1214439" y="13721715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5" name="Straight Connector 1964">
            <a:extLst>
              <a:ext uri="{FF2B5EF4-FFF2-40B4-BE49-F238E27FC236}">
                <a16:creationId xmlns:a16="http://schemas.microsoft.com/office/drawing/2014/main" id="{736D7D74-5D2A-4B41-BDCA-F65D5612982B}"/>
              </a:ext>
            </a:extLst>
          </xdr:cNvPr>
          <xdr:cNvCxnSpPr/>
        </xdr:nvCxnSpPr>
        <xdr:spPr>
          <a:xfrm flipH="1">
            <a:off x="1257302" y="1371790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6" name="Straight Connector 1965">
            <a:extLst>
              <a:ext uri="{FF2B5EF4-FFF2-40B4-BE49-F238E27FC236}">
                <a16:creationId xmlns:a16="http://schemas.microsoft.com/office/drawing/2014/main" id="{3AEC1379-B2C5-4297-B61E-8A2B8A653007}"/>
              </a:ext>
            </a:extLst>
          </xdr:cNvPr>
          <xdr:cNvCxnSpPr/>
        </xdr:nvCxnSpPr>
        <xdr:spPr>
          <a:xfrm>
            <a:off x="4857766" y="1369980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7" name="Straight Connector 1966">
            <a:extLst>
              <a:ext uri="{FF2B5EF4-FFF2-40B4-BE49-F238E27FC236}">
                <a16:creationId xmlns:a16="http://schemas.microsoft.com/office/drawing/2014/main" id="{29E1F5E5-D2BA-4581-97FE-7D66DA45C5A0}"/>
              </a:ext>
            </a:extLst>
          </xdr:cNvPr>
          <xdr:cNvCxnSpPr/>
        </xdr:nvCxnSpPr>
        <xdr:spPr>
          <a:xfrm flipH="1">
            <a:off x="4819668" y="1371790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2" name="Straight Arrow Connector 1971">
            <a:extLst>
              <a:ext uri="{FF2B5EF4-FFF2-40B4-BE49-F238E27FC236}">
                <a16:creationId xmlns:a16="http://schemas.microsoft.com/office/drawing/2014/main" id="{079DE5B4-DA4E-4739-BEC6-96F819306C0C}"/>
              </a:ext>
            </a:extLst>
          </xdr:cNvPr>
          <xdr:cNvCxnSpPr/>
        </xdr:nvCxnSpPr>
        <xdr:spPr>
          <a:xfrm flipH="1">
            <a:off x="1481138" y="136359899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3" name="Straight Connector 1972">
            <a:extLst>
              <a:ext uri="{FF2B5EF4-FFF2-40B4-BE49-F238E27FC236}">
                <a16:creationId xmlns:a16="http://schemas.microsoft.com/office/drawing/2014/main" id="{001141CD-06EF-4FE0-AADA-BB666F0C1A9A}"/>
              </a:ext>
            </a:extLst>
          </xdr:cNvPr>
          <xdr:cNvCxnSpPr/>
        </xdr:nvCxnSpPr>
        <xdr:spPr>
          <a:xfrm>
            <a:off x="971550" y="134650173"/>
            <a:ext cx="0" cy="17097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4" name="Straight Arrow Connector 1973">
            <a:extLst>
              <a:ext uri="{FF2B5EF4-FFF2-40B4-BE49-F238E27FC236}">
                <a16:creationId xmlns:a16="http://schemas.microsoft.com/office/drawing/2014/main" id="{EC8FCAFD-9751-4017-B332-21BA178A5D7A}"/>
              </a:ext>
            </a:extLst>
          </xdr:cNvPr>
          <xdr:cNvCxnSpPr/>
        </xdr:nvCxnSpPr>
        <xdr:spPr>
          <a:xfrm>
            <a:off x="971550" y="13464541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5" name="Straight Arrow Connector 1974">
            <a:extLst>
              <a:ext uri="{FF2B5EF4-FFF2-40B4-BE49-F238E27FC236}">
                <a16:creationId xmlns:a16="http://schemas.microsoft.com/office/drawing/2014/main" id="{C8D78D45-2EA5-4CE2-BADA-E59E74327A8B}"/>
              </a:ext>
            </a:extLst>
          </xdr:cNvPr>
          <xdr:cNvCxnSpPr/>
        </xdr:nvCxnSpPr>
        <xdr:spPr>
          <a:xfrm>
            <a:off x="971550" y="134788285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6" name="Straight Arrow Connector 1975">
            <a:extLst>
              <a:ext uri="{FF2B5EF4-FFF2-40B4-BE49-F238E27FC236}">
                <a16:creationId xmlns:a16="http://schemas.microsoft.com/office/drawing/2014/main" id="{F0961A8F-DB8D-410A-B793-B3FC5BA8341A}"/>
              </a:ext>
            </a:extLst>
          </xdr:cNvPr>
          <xdr:cNvCxnSpPr/>
        </xdr:nvCxnSpPr>
        <xdr:spPr>
          <a:xfrm>
            <a:off x="971549" y="134931162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7" name="Straight Arrow Connector 1976">
            <a:extLst>
              <a:ext uri="{FF2B5EF4-FFF2-40B4-BE49-F238E27FC236}">
                <a16:creationId xmlns:a16="http://schemas.microsoft.com/office/drawing/2014/main" id="{091CF278-4C0D-41C0-9B28-0D14CF4DC4D2}"/>
              </a:ext>
            </a:extLst>
          </xdr:cNvPr>
          <xdr:cNvCxnSpPr/>
        </xdr:nvCxnSpPr>
        <xdr:spPr>
          <a:xfrm>
            <a:off x="971549" y="13507403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8" name="Straight Connector 1977">
            <a:extLst>
              <a:ext uri="{FF2B5EF4-FFF2-40B4-BE49-F238E27FC236}">
                <a16:creationId xmlns:a16="http://schemas.microsoft.com/office/drawing/2014/main" id="{9EF48FFA-B1A0-4540-8342-DCFAB81F614B}"/>
              </a:ext>
            </a:extLst>
          </xdr:cNvPr>
          <xdr:cNvCxnSpPr/>
        </xdr:nvCxnSpPr>
        <xdr:spPr>
          <a:xfrm>
            <a:off x="1171576" y="134645411"/>
            <a:ext cx="0" cy="17240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9" name="Straight Arrow Connector 1978">
            <a:extLst>
              <a:ext uri="{FF2B5EF4-FFF2-40B4-BE49-F238E27FC236}">
                <a16:creationId xmlns:a16="http://schemas.microsoft.com/office/drawing/2014/main" id="{3239A26A-9AA7-446B-BEE5-63A41441473A}"/>
              </a:ext>
            </a:extLst>
          </xdr:cNvPr>
          <xdr:cNvCxnSpPr/>
        </xdr:nvCxnSpPr>
        <xdr:spPr>
          <a:xfrm>
            <a:off x="966788" y="13521691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Straight Arrow Connector 1979">
            <a:extLst>
              <a:ext uri="{FF2B5EF4-FFF2-40B4-BE49-F238E27FC236}">
                <a16:creationId xmlns:a16="http://schemas.microsoft.com/office/drawing/2014/main" id="{24718CF4-616A-46A4-8FD2-FAEEE218401D}"/>
              </a:ext>
            </a:extLst>
          </xdr:cNvPr>
          <xdr:cNvCxnSpPr/>
        </xdr:nvCxnSpPr>
        <xdr:spPr>
          <a:xfrm>
            <a:off x="966788" y="135359784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Straight Arrow Connector 1980">
            <a:extLst>
              <a:ext uri="{FF2B5EF4-FFF2-40B4-BE49-F238E27FC236}">
                <a16:creationId xmlns:a16="http://schemas.microsoft.com/office/drawing/2014/main" id="{15B24F2F-E699-4FF8-B33B-297583683152}"/>
              </a:ext>
            </a:extLst>
          </xdr:cNvPr>
          <xdr:cNvCxnSpPr/>
        </xdr:nvCxnSpPr>
        <xdr:spPr>
          <a:xfrm>
            <a:off x="966787" y="13550266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2" name="Straight Arrow Connector 1981">
            <a:extLst>
              <a:ext uri="{FF2B5EF4-FFF2-40B4-BE49-F238E27FC236}">
                <a16:creationId xmlns:a16="http://schemas.microsoft.com/office/drawing/2014/main" id="{C118BBD3-85C4-419F-A553-861799BFF80E}"/>
              </a:ext>
            </a:extLst>
          </xdr:cNvPr>
          <xdr:cNvCxnSpPr/>
        </xdr:nvCxnSpPr>
        <xdr:spPr>
          <a:xfrm>
            <a:off x="966787" y="135645535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3" name="Straight Arrow Connector 1982">
            <a:extLst>
              <a:ext uri="{FF2B5EF4-FFF2-40B4-BE49-F238E27FC236}">
                <a16:creationId xmlns:a16="http://schemas.microsoft.com/office/drawing/2014/main" id="{587872D6-0BD7-4E75-AB73-633D642AE444}"/>
              </a:ext>
            </a:extLst>
          </xdr:cNvPr>
          <xdr:cNvCxnSpPr/>
        </xdr:nvCxnSpPr>
        <xdr:spPr>
          <a:xfrm>
            <a:off x="966778" y="135788417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4" name="Straight Arrow Connector 1983">
            <a:extLst>
              <a:ext uri="{FF2B5EF4-FFF2-40B4-BE49-F238E27FC236}">
                <a16:creationId xmlns:a16="http://schemas.microsoft.com/office/drawing/2014/main" id="{E88EBFB6-ED51-46BC-9547-B3D1C33BEB2D}"/>
              </a:ext>
            </a:extLst>
          </xdr:cNvPr>
          <xdr:cNvCxnSpPr/>
        </xdr:nvCxnSpPr>
        <xdr:spPr>
          <a:xfrm>
            <a:off x="966778" y="135931291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5" name="Straight Arrow Connector 1984">
            <a:extLst>
              <a:ext uri="{FF2B5EF4-FFF2-40B4-BE49-F238E27FC236}">
                <a16:creationId xmlns:a16="http://schemas.microsoft.com/office/drawing/2014/main" id="{C8DFC3BC-162D-4891-8412-72555AC3D562}"/>
              </a:ext>
            </a:extLst>
          </xdr:cNvPr>
          <xdr:cNvCxnSpPr/>
        </xdr:nvCxnSpPr>
        <xdr:spPr>
          <a:xfrm>
            <a:off x="966777" y="136074168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6" name="Straight Arrow Connector 1985">
            <a:extLst>
              <a:ext uri="{FF2B5EF4-FFF2-40B4-BE49-F238E27FC236}">
                <a16:creationId xmlns:a16="http://schemas.microsoft.com/office/drawing/2014/main" id="{4F0952AF-A9F9-43F6-8971-8DC18BB2C0CA}"/>
              </a:ext>
            </a:extLst>
          </xdr:cNvPr>
          <xdr:cNvCxnSpPr/>
        </xdr:nvCxnSpPr>
        <xdr:spPr>
          <a:xfrm>
            <a:off x="966777" y="136217042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7" name="Straight Arrow Connector 1986">
            <a:extLst>
              <a:ext uri="{FF2B5EF4-FFF2-40B4-BE49-F238E27FC236}">
                <a16:creationId xmlns:a16="http://schemas.microsoft.com/office/drawing/2014/main" id="{CCB61B01-4C19-4365-8909-3598264EB038}"/>
              </a:ext>
            </a:extLst>
          </xdr:cNvPr>
          <xdr:cNvCxnSpPr/>
        </xdr:nvCxnSpPr>
        <xdr:spPr>
          <a:xfrm>
            <a:off x="966775" y="136359916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7" name="Arc 1996">
            <a:extLst>
              <a:ext uri="{FF2B5EF4-FFF2-40B4-BE49-F238E27FC236}">
                <a16:creationId xmlns:a16="http://schemas.microsoft.com/office/drawing/2014/main" id="{F40FAF88-BCF6-41D2-9960-2FFDA665D012}"/>
              </a:ext>
            </a:extLst>
          </xdr:cNvPr>
          <xdr:cNvSpPr/>
        </xdr:nvSpPr>
        <xdr:spPr>
          <a:xfrm rot="8054857">
            <a:off x="1028700" y="136131300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98" name="Arc 1997">
            <a:extLst>
              <a:ext uri="{FF2B5EF4-FFF2-40B4-BE49-F238E27FC236}">
                <a16:creationId xmlns:a16="http://schemas.microsoft.com/office/drawing/2014/main" id="{805CAF57-6827-477D-8DB9-067671E12A9D}"/>
              </a:ext>
            </a:extLst>
          </xdr:cNvPr>
          <xdr:cNvSpPr/>
        </xdr:nvSpPr>
        <xdr:spPr>
          <a:xfrm rot="8054857">
            <a:off x="4600575" y="136136062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80964</xdr:colOff>
      <xdr:row>948</xdr:row>
      <xdr:rowOff>76200</xdr:rowOff>
    </xdr:from>
    <xdr:to>
      <xdr:col>32</xdr:col>
      <xdr:colOff>4762</xdr:colOff>
      <xdr:row>972</xdr:row>
      <xdr:rowOff>66675</xdr:rowOff>
    </xdr:to>
    <xdr:grpSp>
      <xdr:nvGrpSpPr>
        <xdr:cNvPr id="404" name="Group 403">
          <a:extLst>
            <a:ext uri="{FF2B5EF4-FFF2-40B4-BE49-F238E27FC236}">
              <a16:creationId xmlns:a16="http://schemas.microsoft.com/office/drawing/2014/main" id="{2A3685AE-1517-990A-071A-668A7FF1A22E}"/>
            </a:ext>
          </a:extLst>
        </xdr:cNvPr>
        <xdr:cNvGrpSpPr/>
      </xdr:nvGrpSpPr>
      <xdr:grpSpPr>
        <a:xfrm>
          <a:off x="404814" y="137721975"/>
          <a:ext cx="4781548" cy="3419475"/>
          <a:chOff x="566739" y="137721975"/>
          <a:chExt cx="4781548" cy="3419475"/>
        </a:xfrm>
      </xdr:grpSpPr>
      <xdr:sp macro="" textlink="">
        <xdr:nvSpPr>
          <xdr:cNvPr id="1999" name="Freeform: Shape 1998">
            <a:extLst>
              <a:ext uri="{FF2B5EF4-FFF2-40B4-BE49-F238E27FC236}">
                <a16:creationId xmlns:a16="http://schemas.microsoft.com/office/drawing/2014/main" id="{F6CD8DBF-0C60-4842-86B5-FB0FA2A672BA}"/>
              </a:ext>
            </a:extLst>
          </xdr:cNvPr>
          <xdr:cNvSpPr/>
        </xdr:nvSpPr>
        <xdr:spPr>
          <a:xfrm>
            <a:off x="1300162" y="13779341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511A78DF-AC5E-4754-91B5-5878D5FFEB48}"/>
              </a:ext>
            </a:extLst>
          </xdr:cNvPr>
          <xdr:cNvSpPr/>
        </xdr:nvSpPr>
        <xdr:spPr>
          <a:xfrm>
            <a:off x="1138238" y="1402222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3" name="Straight Connector 2002">
            <a:extLst>
              <a:ext uri="{FF2B5EF4-FFF2-40B4-BE49-F238E27FC236}">
                <a16:creationId xmlns:a16="http://schemas.microsoft.com/office/drawing/2014/main" id="{A37A4E21-DBEC-47E9-A447-5BC5F1ACF05F}"/>
              </a:ext>
            </a:extLst>
          </xdr:cNvPr>
          <xdr:cNvCxnSpPr/>
        </xdr:nvCxnSpPr>
        <xdr:spPr>
          <a:xfrm>
            <a:off x="1133475" y="1402175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D3BBC21E-2C53-44C1-9C69-6FE6E1D19DA9}"/>
              </a:ext>
            </a:extLst>
          </xdr:cNvPr>
          <xdr:cNvSpPr/>
        </xdr:nvSpPr>
        <xdr:spPr>
          <a:xfrm>
            <a:off x="4700588" y="14022703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5" name="Straight Connector 2004">
            <a:extLst>
              <a:ext uri="{FF2B5EF4-FFF2-40B4-BE49-F238E27FC236}">
                <a16:creationId xmlns:a16="http://schemas.microsoft.com/office/drawing/2014/main" id="{0EBF35FB-05A6-4E9F-B103-4E97C25452C2}"/>
              </a:ext>
            </a:extLst>
          </xdr:cNvPr>
          <xdr:cNvCxnSpPr/>
        </xdr:nvCxnSpPr>
        <xdr:spPr>
          <a:xfrm>
            <a:off x="4695825" y="14022227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6" name="Straight Connector 2005">
            <a:extLst>
              <a:ext uri="{FF2B5EF4-FFF2-40B4-BE49-F238E27FC236}">
                <a16:creationId xmlns:a16="http://schemas.microsoft.com/office/drawing/2014/main" id="{BBC5DBDF-DE28-4271-BC3C-090A57C7AA65}"/>
              </a:ext>
            </a:extLst>
          </xdr:cNvPr>
          <xdr:cNvCxnSpPr/>
        </xdr:nvCxnSpPr>
        <xdr:spPr>
          <a:xfrm>
            <a:off x="566739" y="140217526"/>
            <a:ext cx="50958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7" name="Straight Connector 2006">
            <a:extLst>
              <a:ext uri="{FF2B5EF4-FFF2-40B4-BE49-F238E27FC236}">
                <a16:creationId xmlns:a16="http://schemas.microsoft.com/office/drawing/2014/main" id="{89100BCE-89CE-4B2C-8EEA-89201E112D74}"/>
              </a:ext>
            </a:extLst>
          </xdr:cNvPr>
          <xdr:cNvCxnSpPr/>
        </xdr:nvCxnSpPr>
        <xdr:spPr>
          <a:xfrm flipH="1">
            <a:off x="604839" y="140184187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Straight Arrow Connector 2007">
            <a:extLst>
              <a:ext uri="{FF2B5EF4-FFF2-40B4-BE49-F238E27FC236}">
                <a16:creationId xmlns:a16="http://schemas.microsoft.com/office/drawing/2014/main" id="{95009BE2-C93E-4281-A2F4-D205DA6A7CC8}"/>
              </a:ext>
            </a:extLst>
          </xdr:cNvPr>
          <xdr:cNvCxnSpPr/>
        </xdr:nvCxnSpPr>
        <xdr:spPr>
          <a:xfrm flipV="1">
            <a:off x="1295400" y="14034134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9" name="Straight Arrow Connector 2008">
            <a:extLst>
              <a:ext uri="{FF2B5EF4-FFF2-40B4-BE49-F238E27FC236}">
                <a16:creationId xmlns:a16="http://schemas.microsoft.com/office/drawing/2014/main" id="{87C7CCD6-DDD6-49B0-BDB5-7D256F905DA2}"/>
              </a:ext>
            </a:extLst>
          </xdr:cNvPr>
          <xdr:cNvCxnSpPr/>
        </xdr:nvCxnSpPr>
        <xdr:spPr>
          <a:xfrm flipV="1">
            <a:off x="4857750" y="14034134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0" name="Straight Arrow Connector 2009">
            <a:extLst>
              <a:ext uri="{FF2B5EF4-FFF2-40B4-BE49-F238E27FC236}">
                <a16:creationId xmlns:a16="http://schemas.microsoft.com/office/drawing/2014/main" id="{88BA7045-008E-4ACF-9611-575E13966B98}"/>
              </a:ext>
            </a:extLst>
          </xdr:cNvPr>
          <xdr:cNvCxnSpPr/>
        </xdr:nvCxnSpPr>
        <xdr:spPr>
          <a:xfrm flipH="1">
            <a:off x="5038724" y="14021752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1" name="Straight Connector 2010">
            <a:extLst>
              <a:ext uri="{FF2B5EF4-FFF2-40B4-BE49-F238E27FC236}">
                <a16:creationId xmlns:a16="http://schemas.microsoft.com/office/drawing/2014/main" id="{E5B95199-ADF9-448F-92E3-FCB3A6926A51}"/>
              </a:ext>
            </a:extLst>
          </xdr:cNvPr>
          <xdr:cNvCxnSpPr/>
        </xdr:nvCxnSpPr>
        <xdr:spPr>
          <a:xfrm flipV="1">
            <a:off x="647700" y="13772197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2" name="Straight Connector 2011">
            <a:extLst>
              <a:ext uri="{FF2B5EF4-FFF2-40B4-BE49-F238E27FC236}">
                <a16:creationId xmlns:a16="http://schemas.microsoft.com/office/drawing/2014/main" id="{A4CC5092-84C7-441A-8798-FC908C75B44D}"/>
              </a:ext>
            </a:extLst>
          </xdr:cNvPr>
          <xdr:cNvCxnSpPr/>
        </xdr:nvCxnSpPr>
        <xdr:spPr>
          <a:xfrm>
            <a:off x="581025" y="137788651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Connector 2012">
            <a:extLst>
              <a:ext uri="{FF2B5EF4-FFF2-40B4-BE49-F238E27FC236}">
                <a16:creationId xmlns:a16="http://schemas.microsoft.com/office/drawing/2014/main" id="{F6744E8B-93F1-4790-A67E-C0E23CA9F1E1}"/>
              </a:ext>
            </a:extLst>
          </xdr:cNvPr>
          <xdr:cNvCxnSpPr/>
        </xdr:nvCxnSpPr>
        <xdr:spPr>
          <a:xfrm flipH="1">
            <a:off x="614363" y="1377600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4" name="Straight Connector 2013">
            <a:extLst>
              <a:ext uri="{FF2B5EF4-FFF2-40B4-BE49-F238E27FC236}">
                <a16:creationId xmlns:a16="http://schemas.microsoft.com/office/drawing/2014/main" id="{902850F2-29A8-4E9F-B540-297F531D14C8}"/>
              </a:ext>
            </a:extLst>
          </xdr:cNvPr>
          <xdr:cNvCxnSpPr/>
        </xdr:nvCxnSpPr>
        <xdr:spPr>
          <a:xfrm>
            <a:off x="581025" y="138503026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5" name="Straight Connector 2014">
            <a:extLst>
              <a:ext uri="{FF2B5EF4-FFF2-40B4-BE49-F238E27FC236}">
                <a16:creationId xmlns:a16="http://schemas.microsoft.com/office/drawing/2014/main" id="{E90232F8-7365-4277-B092-82C7112FBC22}"/>
              </a:ext>
            </a:extLst>
          </xdr:cNvPr>
          <xdr:cNvCxnSpPr/>
        </xdr:nvCxnSpPr>
        <xdr:spPr>
          <a:xfrm flipH="1">
            <a:off x="614363" y="1384744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6" name="Straight Connector 2015">
            <a:extLst>
              <a:ext uri="{FF2B5EF4-FFF2-40B4-BE49-F238E27FC236}">
                <a16:creationId xmlns:a16="http://schemas.microsoft.com/office/drawing/2014/main" id="{EB8DE6B5-9C24-4534-B779-B93BB05F7D46}"/>
              </a:ext>
            </a:extLst>
          </xdr:cNvPr>
          <xdr:cNvCxnSpPr/>
        </xdr:nvCxnSpPr>
        <xdr:spPr>
          <a:xfrm>
            <a:off x="1295400" y="1408414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Straight Connector 2016">
            <a:extLst>
              <a:ext uri="{FF2B5EF4-FFF2-40B4-BE49-F238E27FC236}">
                <a16:creationId xmlns:a16="http://schemas.microsoft.com/office/drawing/2014/main" id="{43D9F17F-1C74-48B1-AD00-6475BD47EAB5}"/>
              </a:ext>
            </a:extLst>
          </xdr:cNvPr>
          <xdr:cNvCxnSpPr/>
        </xdr:nvCxnSpPr>
        <xdr:spPr>
          <a:xfrm>
            <a:off x="1214439" y="14107477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8" name="Straight Connector 2017">
            <a:extLst>
              <a:ext uri="{FF2B5EF4-FFF2-40B4-BE49-F238E27FC236}">
                <a16:creationId xmlns:a16="http://schemas.microsoft.com/office/drawing/2014/main" id="{92BD27E2-8EB7-4A0E-AFCE-6595A39D7E70}"/>
              </a:ext>
            </a:extLst>
          </xdr:cNvPr>
          <xdr:cNvCxnSpPr/>
        </xdr:nvCxnSpPr>
        <xdr:spPr>
          <a:xfrm flipH="1">
            <a:off x="1257302" y="1410366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9" name="Straight Connector 2018">
            <a:extLst>
              <a:ext uri="{FF2B5EF4-FFF2-40B4-BE49-F238E27FC236}">
                <a16:creationId xmlns:a16="http://schemas.microsoft.com/office/drawing/2014/main" id="{A880A756-F510-4942-A96E-F2A2BD801168}"/>
              </a:ext>
            </a:extLst>
          </xdr:cNvPr>
          <xdr:cNvCxnSpPr/>
        </xdr:nvCxnSpPr>
        <xdr:spPr>
          <a:xfrm>
            <a:off x="4857766" y="14085570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0" name="Straight Connector 2019">
            <a:extLst>
              <a:ext uri="{FF2B5EF4-FFF2-40B4-BE49-F238E27FC236}">
                <a16:creationId xmlns:a16="http://schemas.microsoft.com/office/drawing/2014/main" id="{71201E00-248F-4B36-A5F0-A274DCDEE8A9}"/>
              </a:ext>
            </a:extLst>
          </xdr:cNvPr>
          <xdr:cNvCxnSpPr/>
        </xdr:nvCxnSpPr>
        <xdr:spPr>
          <a:xfrm flipH="1">
            <a:off x="4819668" y="1410366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4" name="Straight Arrow Connector 2023">
            <a:extLst>
              <a:ext uri="{FF2B5EF4-FFF2-40B4-BE49-F238E27FC236}">
                <a16:creationId xmlns:a16="http://schemas.microsoft.com/office/drawing/2014/main" id="{825B0594-D1FE-43B1-93C3-7BD10A2BA8A0}"/>
              </a:ext>
            </a:extLst>
          </xdr:cNvPr>
          <xdr:cNvCxnSpPr/>
        </xdr:nvCxnSpPr>
        <xdr:spPr>
          <a:xfrm flipH="1">
            <a:off x="1481138" y="140217524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5" name="Straight Connector 2024">
            <a:extLst>
              <a:ext uri="{FF2B5EF4-FFF2-40B4-BE49-F238E27FC236}">
                <a16:creationId xmlns:a16="http://schemas.microsoft.com/office/drawing/2014/main" id="{A28BD5B6-A6CF-4181-9F01-46F22C70B590}"/>
              </a:ext>
            </a:extLst>
          </xdr:cNvPr>
          <xdr:cNvCxnSpPr/>
        </xdr:nvCxnSpPr>
        <xdr:spPr>
          <a:xfrm>
            <a:off x="971550" y="137793412"/>
            <a:ext cx="0" cy="709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6" name="Straight Arrow Connector 2025">
            <a:extLst>
              <a:ext uri="{FF2B5EF4-FFF2-40B4-BE49-F238E27FC236}">
                <a16:creationId xmlns:a16="http://schemas.microsoft.com/office/drawing/2014/main" id="{4B0ADDB7-9D0D-42AE-81D6-BB3B0A6D200E}"/>
              </a:ext>
            </a:extLst>
          </xdr:cNvPr>
          <xdr:cNvCxnSpPr/>
        </xdr:nvCxnSpPr>
        <xdr:spPr>
          <a:xfrm>
            <a:off x="971550" y="137788659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7" name="Straight Arrow Connector 2026">
            <a:extLst>
              <a:ext uri="{FF2B5EF4-FFF2-40B4-BE49-F238E27FC236}">
                <a16:creationId xmlns:a16="http://schemas.microsoft.com/office/drawing/2014/main" id="{36D1AD2F-6140-4A8E-ACEA-CBA099098A3C}"/>
              </a:ext>
            </a:extLst>
          </xdr:cNvPr>
          <xdr:cNvCxnSpPr/>
        </xdr:nvCxnSpPr>
        <xdr:spPr>
          <a:xfrm>
            <a:off x="971550" y="137931533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8" name="Straight Arrow Connector 2027">
            <a:extLst>
              <a:ext uri="{FF2B5EF4-FFF2-40B4-BE49-F238E27FC236}">
                <a16:creationId xmlns:a16="http://schemas.microsoft.com/office/drawing/2014/main" id="{F9C49178-6657-4178-BA0B-B74FED7BA38B}"/>
              </a:ext>
            </a:extLst>
          </xdr:cNvPr>
          <xdr:cNvCxnSpPr/>
        </xdr:nvCxnSpPr>
        <xdr:spPr>
          <a:xfrm>
            <a:off x="971549" y="138074410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9" name="Straight Arrow Connector 2028">
            <a:extLst>
              <a:ext uri="{FF2B5EF4-FFF2-40B4-BE49-F238E27FC236}">
                <a16:creationId xmlns:a16="http://schemas.microsoft.com/office/drawing/2014/main" id="{502B0757-42D5-48AB-A294-2B636DC445C1}"/>
              </a:ext>
            </a:extLst>
          </xdr:cNvPr>
          <xdr:cNvCxnSpPr/>
        </xdr:nvCxnSpPr>
        <xdr:spPr>
          <a:xfrm>
            <a:off x="971549" y="138217284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0" name="Straight Connector 2029">
            <a:extLst>
              <a:ext uri="{FF2B5EF4-FFF2-40B4-BE49-F238E27FC236}">
                <a16:creationId xmlns:a16="http://schemas.microsoft.com/office/drawing/2014/main" id="{3C0F96A3-C0B5-4924-9754-F9CC811BC1B9}"/>
              </a:ext>
            </a:extLst>
          </xdr:cNvPr>
          <xdr:cNvCxnSpPr/>
        </xdr:nvCxnSpPr>
        <xdr:spPr>
          <a:xfrm>
            <a:off x="1171576" y="137788650"/>
            <a:ext cx="0" cy="714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1" name="Straight Arrow Connector 2030">
            <a:extLst>
              <a:ext uri="{FF2B5EF4-FFF2-40B4-BE49-F238E27FC236}">
                <a16:creationId xmlns:a16="http://schemas.microsoft.com/office/drawing/2014/main" id="{E0CE5F08-D6F0-40D8-B00F-9EF6B2698E31}"/>
              </a:ext>
            </a:extLst>
          </xdr:cNvPr>
          <xdr:cNvCxnSpPr/>
        </xdr:nvCxnSpPr>
        <xdr:spPr>
          <a:xfrm>
            <a:off x="966788" y="138360158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2" name="Straight Arrow Connector 2031">
            <a:extLst>
              <a:ext uri="{FF2B5EF4-FFF2-40B4-BE49-F238E27FC236}">
                <a16:creationId xmlns:a16="http://schemas.microsoft.com/office/drawing/2014/main" id="{A3CD1C34-05E2-496A-954D-155644C23049}"/>
              </a:ext>
            </a:extLst>
          </xdr:cNvPr>
          <xdr:cNvCxnSpPr/>
        </xdr:nvCxnSpPr>
        <xdr:spPr>
          <a:xfrm>
            <a:off x="966788" y="138503032"/>
            <a:ext cx="2047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7" name="Arc 2036">
            <a:extLst>
              <a:ext uri="{FF2B5EF4-FFF2-40B4-BE49-F238E27FC236}">
                <a16:creationId xmlns:a16="http://schemas.microsoft.com/office/drawing/2014/main" id="{BC504A19-BF15-4F8D-8E41-83E0093A0C03}"/>
              </a:ext>
            </a:extLst>
          </xdr:cNvPr>
          <xdr:cNvSpPr/>
        </xdr:nvSpPr>
        <xdr:spPr>
          <a:xfrm rot="8054857">
            <a:off x="1038225" y="139969875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38" name="Arc 2037">
            <a:extLst>
              <a:ext uri="{FF2B5EF4-FFF2-40B4-BE49-F238E27FC236}">
                <a16:creationId xmlns:a16="http://schemas.microsoft.com/office/drawing/2014/main" id="{9E7C5A39-2771-4AEA-896F-E79093BC1D66}"/>
              </a:ext>
            </a:extLst>
          </xdr:cNvPr>
          <xdr:cNvSpPr/>
        </xdr:nvSpPr>
        <xdr:spPr>
          <a:xfrm rot="8054857">
            <a:off x="4591050" y="139984162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34</xdr:col>
      <xdr:colOff>157163</xdr:colOff>
      <xdr:row>946</xdr:row>
      <xdr:rowOff>133350</xdr:rowOff>
    </xdr:from>
    <xdr:to>
      <xdr:col>63</xdr:col>
      <xdr:colOff>9524</xdr:colOff>
      <xdr:row>966</xdr:row>
      <xdr:rowOff>0</xdr:rowOff>
    </xdr:to>
    <xdr:grpSp>
      <xdr:nvGrpSpPr>
        <xdr:cNvPr id="405" name="Group 404">
          <a:extLst>
            <a:ext uri="{FF2B5EF4-FFF2-40B4-BE49-F238E27FC236}">
              <a16:creationId xmlns:a16="http://schemas.microsoft.com/office/drawing/2014/main" id="{C45042C2-B31D-7AA2-8DAC-9897CAF6E775}"/>
            </a:ext>
          </a:extLst>
        </xdr:cNvPr>
        <xdr:cNvGrpSpPr/>
      </xdr:nvGrpSpPr>
      <xdr:grpSpPr>
        <a:xfrm>
          <a:off x="5662613" y="137493375"/>
          <a:ext cx="4548186" cy="2724150"/>
          <a:chOff x="5824538" y="137493375"/>
          <a:chExt cx="4548186" cy="2724150"/>
        </a:xfrm>
      </xdr:grpSpPr>
      <xdr:sp macro="" textlink="">
        <xdr:nvSpPr>
          <xdr:cNvPr id="2021" name="Freeform: Shape 2020">
            <a:extLst>
              <a:ext uri="{FF2B5EF4-FFF2-40B4-BE49-F238E27FC236}">
                <a16:creationId xmlns:a16="http://schemas.microsoft.com/office/drawing/2014/main" id="{EDBBEF28-B53E-43C6-A61C-E4CAF616E0DD}"/>
              </a:ext>
            </a:extLst>
          </xdr:cNvPr>
          <xdr:cNvSpPr/>
        </xdr:nvSpPr>
        <xdr:spPr>
          <a:xfrm>
            <a:off x="6319837" y="13778865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23" name="Freeform: Shape 2022">
            <a:extLst>
              <a:ext uri="{FF2B5EF4-FFF2-40B4-BE49-F238E27FC236}">
                <a16:creationId xmlns:a16="http://schemas.microsoft.com/office/drawing/2014/main" id="{8DB5F389-91CD-4902-B9C8-5EA58E20087D}"/>
              </a:ext>
            </a:extLst>
          </xdr:cNvPr>
          <xdr:cNvSpPr/>
        </xdr:nvSpPr>
        <xdr:spPr>
          <a:xfrm>
            <a:off x="8091488" y="137507662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033" name="Straight Connector 2032">
            <a:extLst>
              <a:ext uri="{FF2B5EF4-FFF2-40B4-BE49-F238E27FC236}">
                <a16:creationId xmlns:a16="http://schemas.microsoft.com/office/drawing/2014/main" id="{52B6C3F3-D3F0-4FDC-86E3-F57AEB5A31E7}"/>
              </a:ext>
            </a:extLst>
          </xdr:cNvPr>
          <xdr:cNvCxnSpPr>
            <a:cxnSpLocks/>
            <a:stCxn id="2021" idx="1"/>
          </xdr:cNvCxnSpPr>
        </xdr:nvCxnSpPr>
        <xdr:spPr>
          <a:xfrm>
            <a:off x="6319837" y="138498263"/>
            <a:ext cx="161926" cy="4095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4" name="Straight Connector 2033">
            <a:extLst>
              <a:ext uri="{FF2B5EF4-FFF2-40B4-BE49-F238E27FC236}">
                <a16:creationId xmlns:a16="http://schemas.microsoft.com/office/drawing/2014/main" id="{C50BB263-6C4D-4722-9D4D-1350C047A1B9}"/>
              </a:ext>
            </a:extLst>
          </xdr:cNvPr>
          <xdr:cNvCxnSpPr>
            <a:cxnSpLocks/>
            <a:endCxn id="2021" idx="2"/>
          </xdr:cNvCxnSpPr>
        </xdr:nvCxnSpPr>
        <xdr:spPr>
          <a:xfrm>
            <a:off x="7981951" y="137498137"/>
            <a:ext cx="119056" cy="2905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5" name="Freeform: Shape 2034">
            <a:extLst>
              <a:ext uri="{FF2B5EF4-FFF2-40B4-BE49-F238E27FC236}">
                <a16:creationId xmlns:a16="http://schemas.microsoft.com/office/drawing/2014/main" id="{62D79504-7864-45F9-839B-C3CBF9582795}"/>
              </a:ext>
            </a:extLst>
          </xdr:cNvPr>
          <xdr:cNvSpPr/>
        </xdr:nvSpPr>
        <xdr:spPr>
          <a:xfrm>
            <a:off x="6481763" y="137493375"/>
            <a:ext cx="1500187" cy="1414463"/>
          </a:xfrm>
          <a:custGeom>
            <a:avLst/>
            <a:gdLst>
              <a:gd name="connsiteX0" fmla="*/ 0 w 1500187"/>
              <a:gd name="connsiteY0" fmla="*/ 1414463 h 1414463"/>
              <a:gd name="connsiteX1" fmla="*/ 928687 w 1500187"/>
              <a:gd name="connsiteY1" fmla="*/ 838200 h 1414463"/>
              <a:gd name="connsiteX2" fmla="*/ 1500187 w 1500187"/>
              <a:gd name="connsiteY2" fmla="*/ 0 h 14144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500187" h="1414463">
                <a:moveTo>
                  <a:pt x="0" y="1414463"/>
                </a:moveTo>
                <a:cubicBezTo>
                  <a:pt x="339328" y="1244203"/>
                  <a:pt x="678656" y="1073944"/>
                  <a:pt x="928687" y="838200"/>
                </a:cubicBezTo>
                <a:cubicBezTo>
                  <a:pt x="1178718" y="602456"/>
                  <a:pt x="1339452" y="301228"/>
                  <a:pt x="1500187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39" name="Freeform: Shape 2038">
            <a:extLst>
              <a:ext uri="{FF2B5EF4-FFF2-40B4-BE49-F238E27FC236}">
                <a16:creationId xmlns:a16="http://schemas.microsoft.com/office/drawing/2014/main" id="{5A4D8CF9-6F28-D8EB-26D9-C1E8215642E1}"/>
              </a:ext>
            </a:extLst>
          </xdr:cNvPr>
          <xdr:cNvSpPr/>
        </xdr:nvSpPr>
        <xdr:spPr>
          <a:xfrm>
            <a:off x="5824538" y="138507788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40" name="Freeform: Shape 2039">
            <a:extLst>
              <a:ext uri="{FF2B5EF4-FFF2-40B4-BE49-F238E27FC236}">
                <a16:creationId xmlns:a16="http://schemas.microsoft.com/office/drawing/2014/main" id="{3221B133-E8DF-441B-8762-E5889BA774ED}"/>
              </a:ext>
            </a:extLst>
          </xdr:cNvPr>
          <xdr:cNvSpPr/>
        </xdr:nvSpPr>
        <xdr:spPr>
          <a:xfrm>
            <a:off x="9386887" y="138507788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35</xdr:col>
      <xdr:colOff>0</xdr:colOff>
      <xdr:row>1026</xdr:row>
      <xdr:rowOff>138112</xdr:rowOff>
    </xdr:from>
    <xdr:to>
      <xdr:col>63</xdr:col>
      <xdr:colOff>14286</xdr:colOff>
      <xdr:row>1046</xdr:row>
      <xdr:rowOff>0</xdr:rowOff>
    </xdr:to>
    <xdr:grpSp>
      <xdr:nvGrpSpPr>
        <xdr:cNvPr id="411" name="Group 410">
          <a:extLst>
            <a:ext uri="{FF2B5EF4-FFF2-40B4-BE49-F238E27FC236}">
              <a16:creationId xmlns:a16="http://schemas.microsoft.com/office/drawing/2014/main" id="{DB5FDC60-E836-1740-DF91-93ED955DB861}"/>
            </a:ext>
          </a:extLst>
        </xdr:cNvPr>
        <xdr:cNvGrpSpPr/>
      </xdr:nvGrpSpPr>
      <xdr:grpSpPr>
        <a:xfrm>
          <a:off x="5667375" y="148928137"/>
          <a:ext cx="4548186" cy="2719388"/>
          <a:chOff x="5829300" y="149071012"/>
          <a:chExt cx="4548186" cy="2719388"/>
        </a:xfrm>
      </xdr:grpSpPr>
      <xdr:sp macro="" textlink="">
        <xdr:nvSpPr>
          <xdr:cNvPr id="2108" name="Freeform: Shape 2107">
            <a:extLst>
              <a:ext uri="{FF2B5EF4-FFF2-40B4-BE49-F238E27FC236}">
                <a16:creationId xmlns:a16="http://schemas.microsoft.com/office/drawing/2014/main" id="{EF7A227D-373D-4736-A656-37164F072C07}"/>
              </a:ext>
            </a:extLst>
          </xdr:cNvPr>
          <xdr:cNvSpPr/>
        </xdr:nvSpPr>
        <xdr:spPr>
          <a:xfrm>
            <a:off x="6319837" y="14936152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12" name="Freeform: Shape 2111">
            <a:extLst>
              <a:ext uri="{FF2B5EF4-FFF2-40B4-BE49-F238E27FC236}">
                <a16:creationId xmlns:a16="http://schemas.microsoft.com/office/drawing/2014/main" id="{A7CEA0A5-5A1D-40C8-8624-395DC79CE629}"/>
              </a:ext>
            </a:extLst>
          </xdr:cNvPr>
          <xdr:cNvSpPr/>
        </xdr:nvSpPr>
        <xdr:spPr>
          <a:xfrm>
            <a:off x="6319838" y="149071012"/>
            <a:ext cx="1776413" cy="1409700"/>
          </a:xfrm>
          <a:custGeom>
            <a:avLst/>
            <a:gdLst>
              <a:gd name="connsiteX0" fmla="*/ 0 w 1776413"/>
              <a:gd name="connsiteY0" fmla="*/ 1000125 h 1409700"/>
              <a:gd name="connsiteX1" fmla="*/ 161925 w 1776413"/>
              <a:gd name="connsiteY1" fmla="*/ 1409700 h 1409700"/>
              <a:gd name="connsiteX2" fmla="*/ 1662113 w 1776413"/>
              <a:gd name="connsiteY2" fmla="*/ 0 h 1409700"/>
              <a:gd name="connsiteX3" fmla="*/ 1776413 w 1776413"/>
              <a:gd name="connsiteY3" fmla="*/ 290513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76413" h="1409700">
                <a:moveTo>
                  <a:pt x="0" y="1000125"/>
                </a:moveTo>
                <a:lnTo>
                  <a:pt x="161925" y="1409700"/>
                </a:lnTo>
                <a:lnTo>
                  <a:pt x="1662113" y="0"/>
                </a:lnTo>
                <a:lnTo>
                  <a:pt x="1776413" y="2905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13" name="Freeform: Shape 2112">
            <a:extLst>
              <a:ext uri="{FF2B5EF4-FFF2-40B4-BE49-F238E27FC236}">
                <a16:creationId xmlns:a16="http://schemas.microsoft.com/office/drawing/2014/main" id="{711CFAD1-2ADA-439B-A9BC-0CA2062270A2}"/>
              </a:ext>
            </a:extLst>
          </xdr:cNvPr>
          <xdr:cNvSpPr/>
        </xdr:nvSpPr>
        <xdr:spPr>
          <a:xfrm>
            <a:off x="8091488" y="149080537"/>
            <a:ext cx="1981200" cy="1009650"/>
          </a:xfrm>
          <a:custGeom>
            <a:avLst/>
            <a:gdLst>
              <a:gd name="connsiteX0" fmla="*/ 0 w 1981200"/>
              <a:gd name="connsiteY0" fmla="*/ 300038 h 1009650"/>
              <a:gd name="connsiteX1" fmla="*/ 119062 w 1981200"/>
              <a:gd name="connsiteY1" fmla="*/ 0 h 1009650"/>
              <a:gd name="connsiteX2" fmla="*/ 1981200 w 1981200"/>
              <a:gd name="connsiteY2" fmla="*/ 514350 h 1009650"/>
              <a:gd name="connsiteX3" fmla="*/ 1785937 w 1981200"/>
              <a:gd name="connsiteY3" fmla="*/ 100965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81200" h="1009650">
                <a:moveTo>
                  <a:pt x="0" y="300038"/>
                </a:moveTo>
                <a:lnTo>
                  <a:pt x="119062" y="0"/>
                </a:lnTo>
                <a:lnTo>
                  <a:pt x="1981200" y="514350"/>
                </a:lnTo>
                <a:lnTo>
                  <a:pt x="1785937" y="10096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15" name="Freeform: Shape 2114">
            <a:extLst>
              <a:ext uri="{FF2B5EF4-FFF2-40B4-BE49-F238E27FC236}">
                <a16:creationId xmlns:a16="http://schemas.microsoft.com/office/drawing/2014/main" id="{905C1F46-80C4-43BC-982F-01F7B6C93A17}"/>
              </a:ext>
            </a:extLst>
          </xdr:cNvPr>
          <xdr:cNvSpPr/>
        </xdr:nvSpPr>
        <xdr:spPr>
          <a:xfrm>
            <a:off x="5829300" y="150085425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16" name="Freeform: Shape 2115">
            <a:extLst>
              <a:ext uri="{FF2B5EF4-FFF2-40B4-BE49-F238E27FC236}">
                <a16:creationId xmlns:a16="http://schemas.microsoft.com/office/drawing/2014/main" id="{0092952E-7FE7-4791-A0C3-B40B9034C32F}"/>
              </a:ext>
            </a:extLst>
          </xdr:cNvPr>
          <xdr:cNvSpPr/>
        </xdr:nvSpPr>
        <xdr:spPr>
          <a:xfrm>
            <a:off x="9391649" y="150085425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80964</xdr:colOff>
      <xdr:row>1028</xdr:row>
      <xdr:rowOff>76200</xdr:rowOff>
    </xdr:from>
    <xdr:to>
      <xdr:col>32</xdr:col>
      <xdr:colOff>4762</xdr:colOff>
      <xdr:row>1052</xdr:row>
      <xdr:rowOff>66675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62F09C49-D523-CE20-5D87-632D35926910}"/>
            </a:ext>
          </a:extLst>
        </xdr:cNvPr>
        <xdr:cNvGrpSpPr/>
      </xdr:nvGrpSpPr>
      <xdr:grpSpPr>
        <a:xfrm>
          <a:off x="404814" y="149151975"/>
          <a:ext cx="4781548" cy="3419475"/>
          <a:chOff x="566739" y="149294850"/>
          <a:chExt cx="4781548" cy="3419475"/>
        </a:xfrm>
      </xdr:grpSpPr>
      <xdr:sp macro="" textlink="">
        <xdr:nvSpPr>
          <xdr:cNvPr id="2086" name="Freeform: Shape 2085">
            <a:extLst>
              <a:ext uri="{FF2B5EF4-FFF2-40B4-BE49-F238E27FC236}">
                <a16:creationId xmlns:a16="http://schemas.microsoft.com/office/drawing/2014/main" id="{4900867A-3C97-427D-B7B5-2EE7A6726E86}"/>
              </a:ext>
            </a:extLst>
          </xdr:cNvPr>
          <xdr:cNvSpPr/>
        </xdr:nvSpPr>
        <xdr:spPr>
          <a:xfrm>
            <a:off x="1300162" y="14936628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C067B082-4043-45EA-ACAD-78380B9F4192}"/>
              </a:ext>
            </a:extLst>
          </xdr:cNvPr>
          <xdr:cNvSpPr/>
        </xdr:nvSpPr>
        <xdr:spPr>
          <a:xfrm>
            <a:off x="1138238" y="1517951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0" name="Straight Connector 2089">
            <a:extLst>
              <a:ext uri="{FF2B5EF4-FFF2-40B4-BE49-F238E27FC236}">
                <a16:creationId xmlns:a16="http://schemas.microsoft.com/office/drawing/2014/main" id="{C1ADE0B2-8016-4CB3-BAFC-22AFF763C476}"/>
              </a:ext>
            </a:extLst>
          </xdr:cNvPr>
          <xdr:cNvCxnSpPr/>
        </xdr:nvCxnSpPr>
        <xdr:spPr>
          <a:xfrm>
            <a:off x="1133475" y="1517903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4D2EA482-DB34-4073-9DCA-A88181124DE2}"/>
              </a:ext>
            </a:extLst>
          </xdr:cNvPr>
          <xdr:cNvSpPr/>
        </xdr:nvSpPr>
        <xdr:spPr>
          <a:xfrm>
            <a:off x="4700588" y="15179991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2" name="Straight Connector 2091">
            <a:extLst>
              <a:ext uri="{FF2B5EF4-FFF2-40B4-BE49-F238E27FC236}">
                <a16:creationId xmlns:a16="http://schemas.microsoft.com/office/drawing/2014/main" id="{0211FEED-3074-4A01-A52F-4FD1643C2516}"/>
              </a:ext>
            </a:extLst>
          </xdr:cNvPr>
          <xdr:cNvCxnSpPr/>
        </xdr:nvCxnSpPr>
        <xdr:spPr>
          <a:xfrm>
            <a:off x="4695825" y="15179515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3" name="Straight Connector 2092">
            <a:extLst>
              <a:ext uri="{FF2B5EF4-FFF2-40B4-BE49-F238E27FC236}">
                <a16:creationId xmlns:a16="http://schemas.microsoft.com/office/drawing/2014/main" id="{9C9DD020-51D1-474B-9356-DA406A13BE81}"/>
              </a:ext>
            </a:extLst>
          </xdr:cNvPr>
          <xdr:cNvCxnSpPr/>
        </xdr:nvCxnSpPr>
        <xdr:spPr>
          <a:xfrm>
            <a:off x="566739" y="151790401"/>
            <a:ext cx="5048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4" name="Straight Connector 2093">
            <a:extLst>
              <a:ext uri="{FF2B5EF4-FFF2-40B4-BE49-F238E27FC236}">
                <a16:creationId xmlns:a16="http://schemas.microsoft.com/office/drawing/2014/main" id="{2D402B23-E172-4F6B-AC8C-5BA89B65B6E9}"/>
              </a:ext>
            </a:extLst>
          </xdr:cNvPr>
          <xdr:cNvCxnSpPr/>
        </xdr:nvCxnSpPr>
        <xdr:spPr>
          <a:xfrm flipH="1">
            <a:off x="604839" y="15175706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5" name="Straight Arrow Connector 2094">
            <a:extLst>
              <a:ext uri="{FF2B5EF4-FFF2-40B4-BE49-F238E27FC236}">
                <a16:creationId xmlns:a16="http://schemas.microsoft.com/office/drawing/2014/main" id="{744DB844-089B-42D9-A031-3142D0D1CCFD}"/>
              </a:ext>
            </a:extLst>
          </xdr:cNvPr>
          <xdr:cNvCxnSpPr/>
        </xdr:nvCxnSpPr>
        <xdr:spPr>
          <a:xfrm flipV="1">
            <a:off x="1295400" y="15191421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6" name="Straight Arrow Connector 2095">
            <a:extLst>
              <a:ext uri="{FF2B5EF4-FFF2-40B4-BE49-F238E27FC236}">
                <a16:creationId xmlns:a16="http://schemas.microsoft.com/office/drawing/2014/main" id="{B066BC53-F919-4323-9A64-D742F5939140}"/>
              </a:ext>
            </a:extLst>
          </xdr:cNvPr>
          <xdr:cNvCxnSpPr/>
        </xdr:nvCxnSpPr>
        <xdr:spPr>
          <a:xfrm flipV="1">
            <a:off x="4857750" y="15191421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7" name="Straight Arrow Connector 2096">
            <a:extLst>
              <a:ext uri="{FF2B5EF4-FFF2-40B4-BE49-F238E27FC236}">
                <a16:creationId xmlns:a16="http://schemas.microsoft.com/office/drawing/2014/main" id="{791239B7-C211-47D1-A08E-EEEE3C621F3E}"/>
              </a:ext>
            </a:extLst>
          </xdr:cNvPr>
          <xdr:cNvCxnSpPr/>
        </xdr:nvCxnSpPr>
        <xdr:spPr>
          <a:xfrm flipH="1">
            <a:off x="5038724" y="15179040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8" name="Straight Connector 2097">
            <a:extLst>
              <a:ext uri="{FF2B5EF4-FFF2-40B4-BE49-F238E27FC236}">
                <a16:creationId xmlns:a16="http://schemas.microsoft.com/office/drawing/2014/main" id="{39A994B9-2007-4921-BEDC-F95219DA92CF}"/>
              </a:ext>
            </a:extLst>
          </xdr:cNvPr>
          <xdr:cNvCxnSpPr/>
        </xdr:nvCxnSpPr>
        <xdr:spPr>
          <a:xfrm flipV="1">
            <a:off x="647700" y="14929485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9" name="Straight Connector 2098">
            <a:extLst>
              <a:ext uri="{FF2B5EF4-FFF2-40B4-BE49-F238E27FC236}">
                <a16:creationId xmlns:a16="http://schemas.microsoft.com/office/drawing/2014/main" id="{8EE5E5AE-8BA8-4DD7-B1E4-A23627BD3107}"/>
              </a:ext>
            </a:extLst>
          </xdr:cNvPr>
          <xdr:cNvCxnSpPr/>
        </xdr:nvCxnSpPr>
        <xdr:spPr>
          <a:xfrm>
            <a:off x="581025" y="14936152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0" name="Straight Connector 2099">
            <a:extLst>
              <a:ext uri="{FF2B5EF4-FFF2-40B4-BE49-F238E27FC236}">
                <a16:creationId xmlns:a16="http://schemas.microsoft.com/office/drawing/2014/main" id="{686D011A-A299-4F06-BA5E-9E7F07B59C6F}"/>
              </a:ext>
            </a:extLst>
          </xdr:cNvPr>
          <xdr:cNvCxnSpPr/>
        </xdr:nvCxnSpPr>
        <xdr:spPr>
          <a:xfrm flipH="1">
            <a:off x="614363" y="1493329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1" name="Straight Connector 2100">
            <a:extLst>
              <a:ext uri="{FF2B5EF4-FFF2-40B4-BE49-F238E27FC236}">
                <a16:creationId xmlns:a16="http://schemas.microsoft.com/office/drawing/2014/main" id="{0C01217E-C58C-410B-822E-67BA8DC7297A}"/>
              </a:ext>
            </a:extLst>
          </xdr:cNvPr>
          <xdr:cNvCxnSpPr/>
        </xdr:nvCxnSpPr>
        <xdr:spPr>
          <a:xfrm>
            <a:off x="581025" y="150075901"/>
            <a:ext cx="200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2" name="Straight Connector 2101">
            <a:extLst>
              <a:ext uri="{FF2B5EF4-FFF2-40B4-BE49-F238E27FC236}">
                <a16:creationId xmlns:a16="http://schemas.microsoft.com/office/drawing/2014/main" id="{15372AFE-0685-4AC7-B9A0-E6F5672D38F9}"/>
              </a:ext>
            </a:extLst>
          </xdr:cNvPr>
          <xdr:cNvCxnSpPr/>
        </xdr:nvCxnSpPr>
        <xdr:spPr>
          <a:xfrm flipH="1">
            <a:off x="614363" y="1500473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3" name="Straight Connector 2102">
            <a:extLst>
              <a:ext uri="{FF2B5EF4-FFF2-40B4-BE49-F238E27FC236}">
                <a16:creationId xmlns:a16="http://schemas.microsoft.com/office/drawing/2014/main" id="{365A7B38-8AF9-402F-A3ED-6A55BB5CF6DC}"/>
              </a:ext>
            </a:extLst>
          </xdr:cNvPr>
          <xdr:cNvCxnSpPr/>
        </xdr:nvCxnSpPr>
        <xdr:spPr>
          <a:xfrm>
            <a:off x="1295400" y="1524142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4" name="Straight Connector 2103">
            <a:extLst>
              <a:ext uri="{FF2B5EF4-FFF2-40B4-BE49-F238E27FC236}">
                <a16:creationId xmlns:a16="http://schemas.microsoft.com/office/drawing/2014/main" id="{534C25F2-6771-42BE-8785-E439D35286DC}"/>
              </a:ext>
            </a:extLst>
          </xdr:cNvPr>
          <xdr:cNvCxnSpPr/>
        </xdr:nvCxnSpPr>
        <xdr:spPr>
          <a:xfrm>
            <a:off x="1214439" y="15264765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5" name="Straight Connector 2104">
            <a:extLst>
              <a:ext uri="{FF2B5EF4-FFF2-40B4-BE49-F238E27FC236}">
                <a16:creationId xmlns:a16="http://schemas.microsoft.com/office/drawing/2014/main" id="{96309C99-58C1-4276-BB9E-D93026095641}"/>
              </a:ext>
            </a:extLst>
          </xdr:cNvPr>
          <xdr:cNvCxnSpPr/>
        </xdr:nvCxnSpPr>
        <xdr:spPr>
          <a:xfrm flipH="1">
            <a:off x="1257302" y="1526095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6" name="Straight Connector 2105">
            <a:extLst>
              <a:ext uri="{FF2B5EF4-FFF2-40B4-BE49-F238E27FC236}">
                <a16:creationId xmlns:a16="http://schemas.microsoft.com/office/drawing/2014/main" id="{1EE5BF4B-FAD1-4A22-B2A4-07FD1E2388DC}"/>
              </a:ext>
            </a:extLst>
          </xdr:cNvPr>
          <xdr:cNvCxnSpPr/>
        </xdr:nvCxnSpPr>
        <xdr:spPr>
          <a:xfrm>
            <a:off x="4857766" y="15242857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7" name="Straight Connector 2106">
            <a:extLst>
              <a:ext uri="{FF2B5EF4-FFF2-40B4-BE49-F238E27FC236}">
                <a16:creationId xmlns:a16="http://schemas.microsoft.com/office/drawing/2014/main" id="{3213671A-0C41-4819-8CEA-3BC2DE6D2217}"/>
              </a:ext>
            </a:extLst>
          </xdr:cNvPr>
          <xdr:cNvCxnSpPr/>
        </xdr:nvCxnSpPr>
        <xdr:spPr>
          <a:xfrm flipH="1">
            <a:off x="4819668" y="1526095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0" name="Straight Arrow Connector 2109">
            <a:extLst>
              <a:ext uri="{FF2B5EF4-FFF2-40B4-BE49-F238E27FC236}">
                <a16:creationId xmlns:a16="http://schemas.microsoft.com/office/drawing/2014/main" id="{770A3E75-6480-4A93-8BF8-E651D3830801}"/>
              </a:ext>
            </a:extLst>
          </xdr:cNvPr>
          <xdr:cNvCxnSpPr/>
        </xdr:nvCxnSpPr>
        <xdr:spPr>
          <a:xfrm>
            <a:off x="976312" y="150080663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4" name="Straight Arrow Connector 2113">
            <a:extLst>
              <a:ext uri="{FF2B5EF4-FFF2-40B4-BE49-F238E27FC236}">
                <a16:creationId xmlns:a16="http://schemas.microsoft.com/office/drawing/2014/main" id="{8B010E54-FFAD-404E-8B78-0DC2992315EB}"/>
              </a:ext>
            </a:extLst>
          </xdr:cNvPr>
          <xdr:cNvCxnSpPr/>
        </xdr:nvCxnSpPr>
        <xdr:spPr>
          <a:xfrm flipH="1">
            <a:off x="1481138" y="151790399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7" name="Arc 2116">
            <a:extLst>
              <a:ext uri="{FF2B5EF4-FFF2-40B4-BE49-F238E27FC236}">
                <a16:creationId xmlns:a16="http://schemas.microsoft.com/office/drawing/2014/main" id="{98D4C638-D4C5-4C5A-B1CD-E618324B265B}"/>
              </a:ext>
            </a:extLst>
          </xdr:cNvPr>
          <xdr:cNvSpPr/>
        </xdr:nvSpPr>
        <xdr:spPr>
          <a:xfrm rot="8054857">
            <a:off x="1028700" y="151561801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18" name="Arc 2117">
            <a:extLst>
              <a:ext uri="{FF2B5EF4-FFF2-40B4-BE49-F238E27FC236}">
                <a16:creationId xmlns:a16="http://schemas.microsoft.com/office/drawing/2014/main" id="{DDADC0AA-2363-4D67-8AA4-8BEFCC05ECFA}"/>
              </a:ext>
            </a:extLst>
          </xdr:cNvPr>
          <xdr:cNvSpPr/>
        </xdr:nvSpPr>
        <xdr:spPr>
          <a:xfrm rot="8054857">
            <a:off x="4581525" y="151576088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80964</xdr:colOff>
      <xdr:row>1001</xdr:row>
      <xdr:rowOff>76200</xdr:rowOff>
    </xdr:from>
    <xdr:to>
      <xdr:col>32</xdr:col>
      <xdr:colOff>4762</xdr:colOff>
      <xdr:row>1025</xdr:row>
      <xdr:rowOff>66675</xdr:rowOff>
    </xdr:to>
    <xdr:grpSp>
      <xdr:nvGrpSpPr>
        <xdr:cNvPr id="408" name="Group 407">
          <a:extLst>
            <a:ext uri="{FF2B5EF4-FFF2-40B4-BE49-F238E27FC236}">
              <a16:creationId xmlns:a16="http://schemas.microsoft.com/office/drawing/2014/main" id="{5C06F7F3-191A-3527-9D26-17C945D5DE94}"/>
            </a:ext>
          </a:extLst>
        </xdr:cNvPr>
        <xdr:cNvGrpSpPr/>
      </xdr:nvGrpSpPr>
      <xdr:grpSpPr>
        <a:xfrm>
          <a:off x="404814" y="145294350"/>
          <a:ext cx="4781548" cy="3419475"/>
          <a:chOff x="566739" y="145437225"/>
          <a:chExt cx="4781548" cy="3419475"/>
        </a:xfrm>
      </xdr:grpSpPr>
      <xdr:sp macro="" textlink="">
        <xdr:nvSpPr>
          <xdr:cNvPr id="2119" name="Freeform: Shape 2118">
            <a:extLst>
              <a:ext uri="{FF2B5EF4-FFF2-40B4-BE49-F238E27FC236}">
                <a16:creationId xmlns:a16="http://schemas.microsoft.com/office/drawing/2014/main" id="{991473DC-7B46-4BEC-8B3E-7A174D68102F}"/>
              </a:ext>
            </a:extLst>
          </xdr:cNvPr>
          <xdr:cNvSpPr/>
        </xdr:nvSpPr>
        <xdr:spPr>
          <a:xfrm>
            <a:off x="1300162" y="145508663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3EDFD9EC-437F-42CE-B986-F589C3196D3B}"/>
              </a:ext>
            </a:extLst>
          </xdr:cNvPr>
          <xdr:cNvSpPr/>
        </xdr:nvSpPr>
        <xdr:spPr>
          <a:xfrm>
            <a:off x="1138238" y="1479375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21" name="Straight Connector 2120">
            <a:extLst>
              <a:ext uri="{FF2B5EF4-FFF2-40B4-BE49-F238E27FC236}">
                <a16:creationId xmlns:a16="http://schemas.microsoft.com/office/drawing/2014/main" id="{DA0DCA70-A5E8-429D-8645-6EB4189832ED}"/>
              </a:ext>
            </a:extLst>
          </xdr:cNvPr>
          <xdr:cNvCxnSpPr/>
        </xdr:nvCxnSpPr>
        <xdr:spPr>
          <a:xfrm>
            <a:off x="1133475" y="1479327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3792DD44-39A6-4B90-BBC9-F3D2C2F95AC5}"/>
              </a:ext>
            </a:extLst>
          </xdr:cNvPr>
          <xdr:cNvSpPr/>
        </xdr:nvSpPr>
        <xdr:spPr>
          <a:xfrm>
            <a:off x="4700588" y="147942288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23" name="Straight Connector 2122">
            <a:extLst>
              <a:ext uri="{FF2B5EF4-FFF2-40B4-BE49-F238E27FC236}">
                <a16:creationId xmlns:a16="http://schemas.microsoft.com/office/drawing/2014/main" id="{5C6C1794-5733-4582-82B7-63DCA8D4BB23}"/>
              </a:ext>
            </a:extLst>
          </xdr:cNvPr>
          <xdr:cNvCxnSpPr/>
        </xdr:nvCxnSpPr>
        <xdr:spPr>
          <a:xfrm>
            <a:off x="4695825" y="147937527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4" name="Straight Connector 2123">
            <a:extLst>
              <a:ext uri="{FF2B5EF4-FFF2-40B4-BE49-F238E27FC236}">
                <a16:creationId xmlns:a16="http://schemas.microsoft.com/office/drawing/2014/main" id="{6B0A953F-3AA3-4931-9B3E-5B7CE1B137BB}"/>
              </a:ext>
            </a:extLst>
          </xdr:cNvPr>
          <xdr:cNvCxnSpPr/>
        </xdr:nvCxnSpPr>
        <xdr:spPr>
          <a:xfrm>
            <a:off x="566739" y="147932776"/>
            <a:ext cx="5048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5" name="Straight Connector 2124">
            <a:extLst>
              <a:ext uri="{FF2B5EF4-FFF2-40B4-BE49-F238E27FC236}">
                <a16:creationId xmlns:a16="http://schemas.microsoft.com/office/drawing/2014/main" id="{54A8966E-372F-475D-B60B-A58BAB133191}"/>
              </a:ext>
            </a:extLst>
          </xdr:cNvPr>
          <xdr:cNvCxnSpPr/>
        </xdr:nvCxnSpPr>
        <xdr:spPr>
          <a:xfrm flipH="1">
            <a:off x="604839" y="147899437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6" name="Straight Arrow Connector 2125">
            <a:extLst>
              <a:ext uri="{FF2B5EF4-FFF2-40B4-BE49-F238E27FC236}">
                <a16:creationId xmlns:a16="http://schemas.microsoft.com/office/drawing/2014/main" id="{28BBBB7D-65F6-4697-A827-E7BA1776236A}"/>
              </a:ext>
            </a:extLst>
          </xdr:cNvPr>
          <xdr:cNvCxnSpPr/>
        </xdr:nvCxnSpPr>
        <xdr:spPr>
          <a:xfrm flipV="1">
            <a:off x="1295400" y="14805659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7" name="Straight Arrow Connector 2126">
            <a:extLst>
              <a:ext uri="{FF2B5EF4-FFF2-40B4-BE49-F238E27FC236}">
                <a16:creationId xmlns:a16="http://schemas.microsoft.com/office/drawing/2014/main" id="{E875CB70-5CE7-408B-ADB4-0D1A3C7CBB35}"/>
              </a:ext>
            </a:extLst>
          </xdr:cNvPr>
          <xdr:cNvCxnSpPr/>
        </xdr:nvCxnSpPr>
        <xdr:spPr>
          <a:xfrm flipV="1">
            <a:off x="4857750" y="148056594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8" name="Straight Arrow Connector 2127">
            <a:extLst>
              <a:ext uri="{FF2B5EF4-FFF2-40B4-BE49-F238E27FC236}">
                <a16:creationId xmlns:a16="http://schemas.microsoft.com/office/drawing/2014/main" id="{E32A705C-FEA7-4088-A6D9-5ECECF7B8133}"/>
              </a:ext>
            </a:extLst>
          </xdr:cNvPr>
          <xdr:cNvCxnSpPr/>
        </xdr:nvCxnSpPr>
        <xdr:spPr>
          <a:xfrm flipH="1">
            <a:off x="5038724" y="147932775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9" name="Straight Connector 2128">
            <a:extLst>
              <a:ext uri="{FF2B5EF4-FFF2-40B4-BE49-F238E27FC236}">
                <a16:creationId xmlns:a16="http://schemas.microsoft.com/office/drawing/2014/main" id="{6DA3495F-537B-4CD5-898C-D30EE5C4B713}"/>
              </a:ext>
            </a:extLst>
          </xdr:cNvPr>
          <xdr:cNvCxnSpPr/>
        </xdr:nvCxnSpPr>
        <xdr:spPr>
          <a:xfrm flipV="1">
            <a:off x="647700" y="145437225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0" name="Straight Connector 2129">
            <a:extLst>
              <a:ext uri="{FF2B5EF4-FFF2-40B4-BE49-F238E27FC236}">
                <a16:creationId xmlns:a16="http://schemas.microsoft.com/office/drawing/2014/main" id="{C41FED59-5DB4-427F-9F6D-DB3021F43378}"/>
              </a:ext>
            </a:extLst>
          </xdr:cNvPr>
          <xdr:cNvCxnSpPr/>
        </xdr:nvCxnSpPr>
        <xdr:spPr>
          <a:xfrm>
            <a:off x="581025" y="145503901"/>
            <a:ext cx="18192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1" name="Straight Connector 2130">
            <a:extLst>
              <a:ext uri="{FF2B5EF4-FFF2-40B4-BE49-F238E27FC236}">
                <a16:creationId xmlns:a16="http://schemas.microsoft.com/office/drawing/2014/main" id="{4F76F518-3A86-4DDB-9C84-AEED1B54615B}"/>
              </a:ext>
            </a:extLst>
          </xdr:cNvPr>
          <xdr:cNvCxnSpPr/>
        </xdr:nvCxnSpPr>
        <xdr:spPr>
          <a:xfrm flipH="1">
            <a:off x="614363" y="14547532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2" name="Straight Connector 2131">
            <a:extLst>
              <a:ext uri="{FF2B5EF4-FFF2-40B4-BE49-F238E27FC236}">
                <a16:creationId xmlns:a16="http://schemas.microsoft.com/office/drawing/2014/main" id="{D5841867-18FF-42AA-B165-83B75D604A4A}"/>
              </a:ext>
            </a:extLst>
          </xdr:cNvPr>
          <xdr:cNvCxnSpPr/>
        </xdr:nvCxnSpPr>
        <xdr:spPr>
          <a:xfrm>
            <a:off x="581025" y="146218276"/>
            <a:ext cx="609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3" name="Straight Connector 2132">
            <a:extLst>
              <a:ext uri="{FF2B5EF4-FFF2-40B4-BE49-F238E27FC236}">
                <a16:creationId xmlns:a16="http://schemas.microsoft.com/office/drawing/2014/main" id="{CC50021E-171B-48DA-9B6D-CA5385507321}"/>
              </a:ext>
            </a:extLst>
          </xdr:cNvPr>
          <xdr:cNvCxnSpPr/>
        </xdr:nvCxnSpPr>
        <xdr:spPr>
          <a:xfrm flipH="1">
            <a:off x="614363" y="1461897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4" name="Straight Connector 2133">
            <a:extLst>
              <a:ext uri="{FF2B5EF4-FFF2-40B4-BE49-F238E27FC236}">
                <a16:creationId xmlns:a16="http://schemas.microsoft.com/office/drawing/2014/main" id="{69CC9119-E5E5-4727-BE0D-BD2C00BA348B}"/>
              </a:ext>
            </a:extLst>
          </xdr:cNvPr>
          <xdr:cNvCxnSpPr/>
        </xdr:nvCxnSpPr>
        <xdr:spPr>
          <a:xfrm>
            <a:off x="1295400" y="14855666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5" name="Straight Connector 2134">
            <a:extLst>
              <a:ext uri="{FF2B5EF4-FFF2-40B4-BE49-F238E27FC236}">
                <a16:creationId xmlns:a16="http://schemas.microsoft.com/office/drawing/2014/main" id="{0E115949-38B8-4209-8F89-05C1E1BE7CE1}"/>
              </a:ext>
            </a:extLst>
          </xdr:cNvPr>
          <xdr:cNvCxnSpPr/>
        </xdr:nvCxnSpPr>
        <xdr:spPr>
          <a:xfrm>
            <a:off x="1214439" y="148790026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6" name="Straight Connector 2135">
            <a:extLst>
              <a:ext uri="{FF2B5EF4-FFF2-40B4-BE49-F238E27FC236}">
                <a16:creationId xmlns:a16="http://schemas.microsoft.com/office/drawing/2014/main" id="{829F839C-2561-428D-B819-ACDAAAA43F85}"/>
              </a:ext>
            </a:extLst>
          </xdr:cNvPr>
          <xdr:cNvCxnSpPr/>
        </xdr:nvCxnSpPr>
        <xdr:spPr>
          <a:xfrm flipH="1">
            <a:off x="1257302" y="1487519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7" name="Straight Connector 2136">
            <a:extLst>
              <a:ext uri="{FF2B5EF4-FFF2-40B4-BE49-F238E27FC236}">
                <a16:creationId xmlns:a16="http://schemas.microsoft.com/office/drawing/2014/main" id="{CC4A595F-1A97-4D9E-B1A1-E0BC4BFF042B}"/>
              </a:ext>
            </a:extLst>
          </xdr:cNvPr>
          <xdr:cNvCxnSpPr/>
        </xdr:nvCxnSpPr>
        <xdr:spPr>
          <a:xfrm>
            <a:off x="4857766" y="14857095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8" name="Straight Connector 2137">
            <a:extLst>
              <a:ext uri="{FF2B5EF4-FFF2-40B4-BE49-F238E27FC236}">
                <a16:creationId xmlns:a16="http://schemas.microsoft.com/office/drawing/2014/main" id="{C986A35D-C1A4-460E-A7A9-236B6CA34F7A}"/>
              </a:ext>
            </a:extLst>
          </xdr:cNvPr>
          <xdr:cNvCxnSpPr/>
        </xdr:nvCxnSpPr>
        <xdr:spPr>
          <a:xfrm flipH="1">
            <a:off x="4819668" y="1487519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0" name="Straight Arrow Connector 2139">
            <a:extLst>
              <a:ext uri="{FF2B5EF4-FFF2-40B4-BE49-F238E27FC236}">
                <a16:creationId xmlns:a16="http://schemas.microsoft.com/office/drawing/2014/main" id="{47070884-4B13-4328-AA08-759A4E077C4D}"/>
              </a:ext>
            </a:extLst>
          </xdr:cNvPr>
          <xdr:cNvCxnSpPr/>
        </xdr:nvCxnSpPr>
        <xdr:spPr>
          <a:xfrm>
            <a:off x="2652712" y="145508663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3" name="Straight Arrow Connector 2142">
            <a:extLst>
              <a:ext uri="{FF2B5EF4-FFF2-40B4-BE49-F238E27FC236}">
                <a16:creationId xmlns:a16="http://schemas.microsoft.com/office/drawing/2014/main" id="{577F96F1-1E62-40CC-9DD0-C472A23D86BB}"/>
              </a:ext>
            </a:extLst>
          </xdr:cNvPr>
          <xdr:cNvCxnSpPr/>
        </xdr:nvCxnSpPr>
        <xdr:spPr>
          <a:xfrm flipH="1">
            <a:off x="1481138" y="147932774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6" name="Arc 2145">
            <a:extLst>
              <a:ext uri="{FF2B5EF4-FFF2-40B4-BE49-F238E27FC236}">
                <a16:creationId xmlns:a16="http://schemas.microsoft.com/office/drawing/2014/main" id="{1FB524EA-2DAA-4784-91ED-5C031CABF2B7}"/>
              </a:ext>
            </a:extLst>
          </xdr:cNvPr>
          <xdr:cNvSpPr/>
        </xdr:nvSpPr>
        <xdr:spPr>
          <a:xfrm rot="8054857">
            <a:off x="1028700" y="147704176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47" name="Arc 2146">
            <a:extLst>
              <a:ext uri="{FF2B5EF4-FFF2-40B4-BE49-F238E27FC236}">
                <a16:creationId xmlns:a16="http://schemas.microsoft.com/office/drawing/2014/main" id="{0796B589-6B5E-49D5-BCDD-0884BACBFEC2}"/>
              </a:ext>
            </a:extLst>
          </xdr:cNvPr>
          <xdr:cNvSpPr/>
        </xdr:nvSpPr>
        <xdr:spPr>
          <a:xfrm rot="8054857">
            <a:off x="4581525" y="147718463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24</xdr:col>
      <xdr:colOff>0</xdr:colOff>
      <xdr:row>199</xdr:row>
      <xdr:rowOff>9525</xdr:rowOff>
    </xdr:from>
    <xdr:to>
      <xdr:col>42</xdr:col>
      <xdr:colOff>14288</xdr:colOff>
      <xdr:row>214</xdr:row>
      <xdr:rowOff>4763</xdr:rowOff>
    </xdr:to>
    <xdr:grpSp>
      <xdr:nvGrpSpPr>
        <xdr:cNvPr id="175" name="Group 174">
          <a:extLst>
            <a:ext uri="{FF2B5EF4-FFF2-40B4-BE49-F238E27FC236}">
              <a16:creationId xmlns:a16="http://schemas.microsoft.com/office/drawing/2014/main" id="{B038E317-E179-28FA-A469-65ADF747BA2F}"/>
            </a:ext>
          </a:extLst>
        </xdr:cNvPr>
        <xdr:cNvGrpSpPr/>
      </xdr:nvGrpSpPr>
      <xdr:grpSpPr>
        <a:xfrm>
          <a:off x="3886200" y="28889325"/>
          <a:ext cx="2928938" cy="2138363"/>
          <a:chOff x="4048125" y="28889325"/>
          <a:chExt cx="2928938" cy="2138363"/>
        </a:xfrm>
      </xdr:grpSpPr>
      <xdr:sp macro="" textlink="">
        <xdr:nvSpPr>
          <xdr:cNvPr id="482" name="Freeform: Shape 481">
            <a:extLst>
              <a:ext uri="{FF2B5EF4-FFF2-40B4-BE49-F238E27FC236}">
                <a16:creationId xmlns:a16="http://schemas.microsoft.com/office/drawing/2014/main" id="{EAA831AD-BFD4-446A-B5B6-F6362BB65C3A}"/>
              </a:ext>
            </a:extLst>
          </xdr:cNvPr>
          <xdr:cNvSpPr/>
        </xdr:nvSpPr>
        <xdr:spPr>
          <a:xfrm>
            <a:off x="4533897" y="2930842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88" name="Freeform: Shape 487">
            <a:extLst>
              <a:ext uri="{FF2B5EF4-FFF2-40B4-BE49-F238E27FC236}">
                <a16:creationId xmlns:a16="http://schemas.microsoft.com/office/drawing/2014/main" id="{164433A0-13D4-4CD5-BC4B-1703405FB4A2}"/>
              </a:ext>
            </a:extLst>
          </xdr:cNvPr>
          <xdr:cNvSpPr/>
        </xdr:nvSpPr>
        <xdr:spPr>
          <a:xfrm>
            <a:off x="6481763" y="29313187"/>
            <a:ext cx="495300" cy="1714500"/>
          </a:xfrm>
          <a:custGeom>
            <a:avLst/>
            <a:gdLst>
              <a:gd name="connsiteX0" fmla="*/ 4762 w 495300"/>
              <a:gd name="connsiteY0" fmla="*/ 0 h 1714500"/>
              <a:gd name="connsiteX1" fmla="*/ 495300 w 495300"/>
              <a:gd name="connsiteY1" fmla="*/ 0 h 1714500"/>
              <a:gd name="connsiteX2" fmla="*/ 0 w 495300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4500">
                <a:moveTo>
                  <a:pt x="4762" y="0"/>
                </a:moveTo>
                <a:lnTo>
                  <a:pt x="495300" y="0"/>
                </a:lnTo>
                <a:lnTo>
                  <a:pt x="0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97A32552-BCAF-482D-897F-71E047D19D8F}"/>
              </a:ext>
            </a:extLst>
          </xdr:cNvPr>
          <xdr:cNvCxnSpPr/>
        </xdr:nvCxnSpPr>
        <xdr:spPr>
          <a:xfrm>
            <a:off x="4529138" y="29737049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511" name="Freeform: Shape 510">
            <a:extLst>
              <a:ext uri="{FF2B5EF4-FFF2-40B4-BE49-F238E27FC236}">
                <a16:creationId xmlns:a16="http://schemas.microsoft.com/office/drawing/2014/main" id="{3B0CB509-2536-1457-46A9-6FF976AE3898}"/>
              </a:ext>
            </a:extLst>
          </xdr:cNvPr>
          <xdr:cNvSpPr/>
        </xdr:nvSpPr>
        <xdr:spPr>
          <a:xfrm>
            <a:off x="4533901" y="28889325"/>
            <a:ext cx="1943100" cy="1133475"/>
          </a:xfrm>
          <a:custGeom>
            <a:avLst/>
            <a:gdLst>
              <a:gd name="connsiteX0" fmla="*/ 0 w 1952625"/>
              <a:gd name="connsiteY0" fmla="*/ 1133475 h 1133475"/>
              <a:gd name="connsiteX1" fmla="*/ 1952625 w 1952625"/>
              <a:gd name="connsiteY1" fmla="*/ 0 h 1133475"/>
              <a:gd name="connsiteX2" fmla="*/ 1952625 w 1952625"/>
              <a:gd name="connsiteY2" fmla="*/ 419100 h 1133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52625" h="1133475">
                <a:moveTo>
                  <a:pt x="0" y="1133475"/>
                </a:moveTo>
                <a:lnTo>
                  <a:pt x="1952625" y="0"/>
                </a:lnTo>
                <a:lnTo>
                  <a:pt x="1952625" y="4191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" name="Freeform: Shape 1">
            <a:extLst>
              <a:ext uri="{FF2B5EF4-FFF2-40B4-BE49-F238E27FC236}">
                <a16:creationId xmlns:a16="http://schemas.microsoft.com/office/drawing/2014/main" id="{18765743-D582-78E2-BB0D-0FC707F9393C}"/>
              </a:ext>
            </a:extLst>
          </xdr:cNvPr>
          <xdr:cNvSpPr/>
        </xdr:nvSpPr>
        <xdr:spPr>
          <a:xfrm>
            <a:off x="4048125" y="29308427"/>
            <a:ext cx="1123950" cy="1714500"/>
          </a:xfrm>
          <a:custGeom>
            <a:avLst/>
            <a:gdLst>
              <a:gd name="connsiteX0" fmla="*/ 800100 w 1123950"/>
              <a:gd name="connsiteY0" fmla="*/ 0 h 1714500"/>
              <a:gd name="connsiteX1" fmla="*/ 1123950 w 1123950"/>
              <a:gd name="connsiteY1" fmla="*/ 423862 h 1714500"/>
              <a:gd name="connsiteX2" fmla="*/ 0 w 1123950"/>
              <a:gd name="connsiteY2" fmla="*/ 423862 h 1714500"/>
              <a:gd name="connsiteX3" fmla="*/ 481013 w 1123950"/>
              <a:gd name="connsiteY3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23950" h="1714500">
                <a:moveTo>
                  <a:pt x="800100" y="0"/>
                </a:moveTo>
                <a:lnTo>
                  <a:pt x="1123950" y="423862"/>
                </a:lnTo>
                <a:lnTo>
                  <a:pt x="0" y="423862"/>
                </a:lnTo>
                <a:lnTo>
                  <a:pt x="481013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35</xdr:col>
      <xdr:colOff>0</xdr:colOff>
      <xdr:row>664</xdr:row>
      <xdr:rowOff>76200</xdr:rowOff>
    </xdr:from>
    <xdr:to>
      <xdr:col>63</xdr:col>
      <xdr:colOff>0</xdr:colOff>
      <xdr:row>683</xdr:row>
      <xdr:rowOff>0</xdr:rowOff>
    </xdr:to>
    <xdr:grpSp>
      <xdr:nvGrpSpPr>
        <xdr:cNvPr id="361" name="Group 360">
          <a:extLst>
            <a:ext uri="{FF2B5EF4-FFF2-40B4-BE49-F238E27FC236}">
              <a16:creationId xmlns:a16="http://schemas.microsoft.com/office/drawing/2014/main" id="{8CBB0559-E401-113A-02D4-F6DEF8C383DE}"/>
            </a:ext>
          </a:extLst>
        </xdr:cNvPr>
        <xdr:cNvGrpSpPr/>
      </xdr:nvGrpSpPr>
      <xdr:grpSpPr>
        <a:xfrm>
          <a:off x="5667375" y="96707325"/>
          <a:ext cx="4533900" cy="2638425"/>
          <a:chOff x="5829300" y="96707325"/>
          <a:chExt cx="4533900" cy="2638425"/>
        </a:xfrm>
      </xdr:grpSpPr>
      <xdr:sp macro="" textlink="">
        <xdr:nvSpPr>
          <xdr:cNvPr id="1514" name="Freeform: Shape 1513">
            <a:extLst>
              <a:ext uri="{FF2B5EF4-FFF2-40B4-BE49-F238E27FC236}">
                <a16:creationId xmlns:a16="http://schemas.microsoft.com/office/drawing/2014/main" id="{0BCB36CB-6190-47C3-97DE-DD1E82FC00C6}"/>
              </a:ext>
            </a:extLst>
          </xdr:cNvPr>
          <xdr:cNvSpPr/>
        </xdr:nvSpPr>
        <xdr:spPr>
          <a:xfrm>
            <a:off x="6319837" y="9691687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5" name="Freeform: Shape 1514">
            <a:extLst>
              <a:ext uri="{FF2B5EF4-FFF2-40B4-BE49-F238E27FC236}">
                <a16:creationId xmlns:a16="http://schemas.microsoft.com/office/drawing/2014/main" id="{AD8DDDE1-FCEE-4507-853C-4D6DD1C907EC}"/>
              </a:ext>
            </a:extLst>
          </xdr:cNvPr>
          <xdr:cNvSpPr/>
        </xdr:nvSpPr>
        <xdr:spPr>
          <a:xfrm>
            <a:off x="5829300" y="97626488"/>
            <a:ext cx="495300" cy="1719262"/>
          </a:xfrm>
          <a:custGeom>
            <a:avLst/>
            <a:gdLst>
              <a:gd name="connsiteX0" fmla="*/ 495300 w 495300"/>
              <a:gd name="connsiteY0" fmla="*/ 0 h 1719262"/>
              <a:gd name="connsiteX1" fmla="*/ 0 w 495300"/>
              <a:gd name="connsiteY1" fmla="*/ 0 h 1719262"/>
              <a:gd name="connsiteX2" fmla="*/ 495300 w 495300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1719262">
                <a:moveTo>
                  <a:pt x="495300" y="0"/>
                </a:moveTo>
                <a:lnTo>
                  <a:pt x="0" y="0"/>
                </a:lnTo>
                <a:lnTo>
                  <a:pt x="495300" y="17192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16" name="Straight Connector 1515">
            <a:extLst>
              <a:ext uri="{FF2B5EF4-FFF2-40B4-BE49-F238E27FC236}">
                <a16:creationId xmlns:a16="http://schemas.microsoft.com/office/drawing/2014/main" id="{7557E111-D08C-458E-A48B-95C4D3512D54}"/>
              </a:ext>
            </a:extLst>
          </xdr:cNvPr>
          <xdr:cNvCxnSpPr/>
        </xdr:nvCxnSpPr>
        <xdr:spPr>
          <a:xfrm flipH="1" flipV="1">
            <a:off x="6161434" y="97206016"/>
            <a:ext cx="166034" cy="41094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7" name="Straight Connector 1516">
            <a:extLst>
              <a:ext uri="{FF2B5EF4-FFF2-40B4-BE49-F238E27FC236}">
                <a16:creationId xmlns:a16="http://schemas.microsoft.com/office/drawing/2014/main" id="{6896992A-0CFA-442E-A546-C52C26857B71}"/>
              </a:ext>
            </a:extLst>
          </xdr:cNvPr>
          <xdr:cNvCxnSpPr/>
        </xdr:nvCxnSpPr>
        <xdr:spPr>
          <a:xfrm flipH="1" flipV="1">
            <a:off x="8106432" y="96916875"/>
            <a:ext cx="116516" cy="28838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8" name="Straight Connector 1517">
            <a:extLst>
              <a:ext uri="{FF2B5EF4-FFF2-40B4-BE49-F238E27FC236}">
                <a16:creationId xmlns:a16="http://schemas.microsoft.com/office/drawing/2014/main" id="{C2951CC0-9917-4CD1-BF49-EB07E57824AB}"/>
              </a:ext>
            </a:extLst>
          </xdr:cNvPr>
          <xdr:cNvCxnSpPr/>
        </xdr:nvCxnSpPr>
        <xdr:spPr>
          <a:xfrm flipH="1" flipV="1">
            <a:off x="7583583" y="97117179"/>
            <a:ext cx="223092" cy="55217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9" name="Freeform: Shape 1518">
            <a:extLst>
              <a:ext uri="{FF2B5EF4-FFF2-40B4-BE49-F238E27FC236}">
                <a16:creationId xmlns:a16="http://schemas.microsoft.com/office/drawing/2014/main" id="{01EEA596-1384-47BD-9688-94AABE0D5F8D}"/>
              </a:ext>
            </a:extLst>
          </xdr:cNvPr>
          <xdr:cNvSpPr/>
        </xdr:nvSpPr>
        <xdr:spPr>
          <a:xfrm>
            <a:off x="6153150" y="97197863"/>
            <a:ext cx="2066925" cy="500063"/>
          </a:xfrm>
          <a:custGeom>
            <a:avLst/>
            <a:gdLst>
              <a:gd name="connsiteX0" fmla="*/ 0 w 2066925"/>
              <a:gd name="connsiteY0" fmla="*/ 4762 h 500063"/>
              <a:gd name="connsiteX1" fmla="*/ 1476375 w 2066925"/>
              <a:gd name="connsiteY1" fmla="*/ 500062 h 500063"/>
              <a:gd name="connsiteX2" fmla="*/ 2066925 w 2066925"/>
              <a:gd name="connsiteY2" fmla="*/ 0 h 5000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66925" h="500063">
                <a:moveTo>
                  <a:pt x="0" y="4762"/>
                </a:moveTo>
                <a:cubicBezTo>
                  <a:pt x="565944" y="252809"/>
                  <a:pt x="1131888" y="500856"/>
                  <a:pt x="1476375" y="500062"/>
                </a:cubicBezTo>
                <a:cubicBezTo>
                  <a:pt x="1820862" y="499268"/>
                  <a:pt x="1943893" y="249634"/>
                  <a:pt x="2066925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4" name="Freeform: Shape 1533">
            <a:extLst>
              <a:ext uri="{FF2B5EF4-FFF2-40B4-BE49-F238E27FC236}">
                <a16:creationId xmlns:a16="http://schemas.microsoft.com/office/drawing/2014/main" id="{DD8393A6-3E8B-4B42-8108-32A80F154B7F}"/>
              </a:ext>
            </a:extLst>
          </xdr:cNvPr>
          <xdr:cNvSpPr/>
        </xdr:nvSpPr>
        <xdr:spPr>
          <a:xfrm>
            <a:off x="9877425" y="97636013"/>
            <a:ext cx="485775" cy="1709737"/>
          </a:xfrm>
          <a:custGeom>
            <a:avLst/>
            <a:gdLst>
              <a:gd name="connsiteX0" fmla="*/ 0 w 485775"/>
              <a:gd name="connsiteY0" fmla="*/ 0 h 1709737"/>
              <a:gd name="connsiteX1" fmla="*/ 485775 w 485775"/>
              <a:gd name="connsiteY1" fmla="*/ 0 h 1709737"/>
              <a:gd name="connsiteX2" fmla="*/ 0 w 485775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09737">
                <a:moveTo>
                  <a:pt x="0" y="0"/>
                </a:moveTo>
                <a:lnTo>
                  <a:pt x="485775" y="0"/>
                </a:lnTo>
                <a:lnTo>
                  <a:pt x="0" y="170973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7" name="Freeform: Shape 1536">
            <a:extLst>
              <a:ext uri="{FF2B5EF4-FFF2-40B4-BE49-F238E27FC236}">
                <a16:creationId xmlns:a16="http://schemas.microsoft.com/office/drawing/2014/main" id="{24B4C41C-4119-F3C0-7761-4C1B32946325}"/>
              </a:ext>
            </a:extLst>
          </xdr:cNvPr>
          <xdr:cNvSpPr/>
        </xdr:nvSpPr>
        <xdr:spPr>
          <a:xfrm>
            <a:off x="7972424" y="96931162"/>
            <a:ext cx="2076450" cy="723900"/>
          </a:xfrm>
          <a:custGeom>
            <a:avLst/>
            <a:gdLst>
              <a:gd name="connsiteX0" fmla="*/ 119062 w 2076450"/>
              <a:gd name="connsiteY0" fmla="*/ 0 h 723900"/>
              <a:gd name="connsiteX1" fmla="*/ 0 w 2076450"/>
              <a:gd name="connsiteY1" fmla="*/ 300037 h 723900"/>
              <a:gd name="connsiteX2" fmla="*/ 2076450 w 2076450"/>
              <a:gd name="connsiteY2" fmla="*/ 285750 h 723900"/>
              <a:gd name="connsiteX3" fmla="*/ 1900237 w 2076450"/>
              <a:gd name="connsiteY3" fmla="*/ 7239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76450" h="723900">
                <a:moveTo>
                  <a:pt x="119062" y="0"/>
                </a:moveTo>
                <a:lnTo>
                  <a:pt x="0" y="300037"/>
                </a:lnTo>
                <a:lnTo>
                  <a:pt x="2076450" y="285750"/>
                </a:lnTo>
                <a:lnTo>
                  <a:pt x="1900237" y="7239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CDF8A938-A047-4C7E-9CB4-CF9BEE16CE4A}"/>
              </a:ext>
            </a:extLst>
          </xdr:cNvPr>
          <xdr:cNvCxnSpPr/>
        </xdr:nvCxnSpPr>
        <xdr:spPr>
          <a:xfrm flipV="1">
            <a:off x="6316316" y="96707325"/>
            <a:ext cx="0" cy="819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DB3FFF55-4E1B-4D73-A40D-593ED1BCF819}"/>
              </a:ext>
            </a:extLst>
          </xdr:cNvPr>
          <xdr:cNvCxnSpPr/>
        </xdr:nvCxnSpPr>
        <xdr:spPr>
          <a:xfrm>
            <a:off x="6249642" y="96774001"/>
            <a:ext cx="14049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6B68D1A-5221-4142-A045-FF66F77DC58F}"/>
              </a:ext>
            </a:extLst>
          </xdr:cNvPr>
          <xdr:cNvCxnSpPr/>
        </xdr:nvCxnSpPr>
        <xdr:spPr>
          <a:xfrm flipH="1">
            <a:off x="6278215" y="967406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A0F6266D-CF62-4258-B1E0-ADF6E24A7F1B}"/>
              </a:ext>
            </a:extLst>
          </xdr:cNvPr>
          <xdr:cNvCxnSpPr/>
        </xdr:nvCxnSpPr>
        <xdr:spPr>
          <a:xfrm flipV="1">
            <a:off x="7587903" y="96707325"/>
            <a:ext cx="0" cy="385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BE2351A7-8067-4B30-BB26-5CDEEF3CF69F}"/>
              </a:ext>
            </a:extLst>
          </xdr:cNvPr>
          <xdr:cNvCxnSpPr/>
        </xdr:nvCxnSpPr>
        <xdr:spPr>
          <a:xfrm flipH="1">
            <a:off x="7549802" y="967406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1002</xdr:row>
      <xdr:rowOff>0</xdr:rowOff>
    </xdr:from>
    <xdr:to>
      <xdr:col>63</xdr:col>
      <xdr:colOff>14286</xdr:colOff>
      <xdr:row>1019</xdr:row>
      <xdr:rowOff>0</xdr:rowOff>
    </xdr:to>
    <xdr:grpSp>
      <xdr:nvGrpSpPr>
        <xdr:cNvPr id="409" name="Group 408">
          <a:extLst>
            <a:ext uri="{FF2B5EF4-FFF2-40B4-BE49-F238E27FC236}">
              <a16:creationId xmlns:a16="http://schemas.microsoft.com/office/drawing/2014/main" id="{C33904F7-A841-5468-71D9-23D0A1F1101D}"/>
            </a:ext>
          </a:extLst>
        </xdr:cNvPr>
        <xdr:cNvGrpSpPr/>
      </xdr:nvGrpSpPr>
      <xdr:grpSpPr>
        <a:xfrm>
          <a:off x="5667375" y="145361025"/>
          <a:ext cx="4548186" cy="2428875"/>
          <a:chOff x="5829300" y="145503900"/>
          <a:chExt cx="4548186" cy="2428875"/>
        </a:xfrm>
      </xdr:grpSpPr>
      <xdr:sp macro="" textlink="">
        <xdr:nvSpPr>
          <xdr:cNvPr id="2139" name="Freeform: Shape 2138">
            <a:extLst>
              <a:ext uri="{FF2B5EF4-FFF2-40B4-BE49-F238E27FC236}">
                <a16:creationId xmlns:a16="http://schemas.microsoft.com/office/drawing/2014/main" id="{0AA256ED-6D2A-48E9-807F-39DC9E668C04}"/>
              </a:ext>
            </a:extLst>
          </xdr:cNvPr>
          <xdr:cNvSpPr/>
        </xdr:nvSpPr>
        <xdr:spPr>
          <a:xfrm>
            <a:off x="6319837" y="145503900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4" name="Freeform: Shape 2143">
            <a:extLst>
              <a:ext uri="{FF2B5EF4-FFF2-40B4-BE49-F238E27FC236}">
                <a16:creationId xmlns:a16="http://schemas.microsoft.com/office/drawing/2014/main" id="{01512581-0D59-4932-BADD-7E49925F0A78}"/>
              </a:ext>
            </a:extLst>
          </xdr:cNvPr>
          <xdr:cNvSpPr/>
        </xdr:nvSpPr>
        <xdr:spPr>
          <a:xfrm>
            <a:off x="5829300" y="146227800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5" name="Freeform: Shape 2144">
            <a:extLst>
              <a:ext uri="{FF2B5EF4-FFF2-40B4-BE49-F238E27FC236}">
                <a16:creationId xmlns:a16="http://schemas.microsoft.com/office/drawing/2014/main" id="{8158520D-7338-4CA8-97D2-BFD61D6334C0}"/>
              </a:ext>
            </a:extLst>
          </xdr:cNvPr>
          <xdr:cNvSpPr/>
        </xdr:nvSpPr>
        <xdr:spPr>
          <a:xfrm>
            <a:off x="9391649" y="146227800"/>
            <a:ext cx="985837" cy="1704975"/>
          </a:xfrm>
          <a:custGeom>
            <a:avLst/>
            <a:gdLst>
              <a:gd name="connsiteX0" fmla="*/ 500062 w 985837"/>
              <a:gd name="connsiteY0" fmla="*/ 0 h 1704975"/>
              <a:gd name="connsiteX1" fmla="*/ 985837 w 985837"/>
              <a:gd name="connsiteY1" fmla="*/ 0 h 1704975"/>
              <a:gd name="connsiteX2" fmla="*/ 0 w 985837"/>
              <a:gd name="connsiteY2" fmla="*/ 1704975 h 1704975"/>
              <a:gd name="connsiteX3" fmla="*/ 500062 w 985837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5837" h="1704975">
                <a:moveTo>
                  <a:pt x="500062" y="0"/>
                </a:moveTo>
                <a:lnTo>
                  <a:pt x="985837" y="0"/>
                </a:lnTo>
                <a:lnTo>
                  <a:pt x="0" y="1704975"/>
                </a:lnTo>
                <a:lnTo>
                  <a:pt x="500062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51" name="Freeform: Shape 2150">
            <a:extLst>
              <a:ext uri="{FF2B5EF4-FFF2-40B4-BE49-F238E27FC236}">
                <a16:creationId xmlns:a16="http://schemas.microsoft.com/office/drawing/2014/main" id="{D9D7A149-E800-E9FB-1FB8-2A4B1073530B}"/>
              </a:ext>
            </a:extLst>
          </xdr:cNvPr>
          <xdr:cNvSpPr/>
        </xdr:nvSpPr>
        <xdr:spPr>
          <a:xfrm>
            <a:off x="6319838" y="145513425"/>
            <a:ext cx="1781175" cy="1109663"/>
          </a:xfrm>
          <a:custGeom>
            <a:avLst/>
            <a:gdLst>
              <a:gd name="connsiteX0" fmla="*/ 0 w 1781175"/>
              <a:gd name="connsiteY0" fmla="*/ 709613 h 1109663"/>
              <a:gd name="connsiteX1" fmla="*/ 161925 w 1781175"/>
              <a:gd name="connsiteY1" fmla="*/ 1109663 h 1109663"/>
              <a:gd name="connsiteX2" fmla="*/ 1781175 w 1781175"/>
              <a:gd name="connsiteY2" fmla="*/ 0 h 11096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81175" h="1109663">
                <a:moveTo>
                  <a:pt x="0" y="709613"/>
                </a:moveTo>
                <a:lnTo>
                  <a:pt x="161925" y="1109663"/>
                </a:lnTo>
                <a:lnTo>
                  <a:pt x="1781175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ACF6B047-E7B8-1110-CBA4-89C41720237C}"/>
              </a:ext>
            </a:extLst>
          </xdr:cNvPr>
          <xdr:cNvSpPr/>
        </xdr:nvSpPr>
        <xdr:spPr>
          <a:xfrm>
            <a:off x="8101013" y="145503900"/>
            <a:ext cx="1971675" cy="714375"/>
          </a:xfrm>
          <a:custGeom>
            <a:avLst/>
            <a:gdLst>
              <a:gd name="connsiteX0" fmla="*/ 1781175 w 1971675"/>
              <a:gd name="connsiteY0" fmla="*/ 714375 h 714375"/>
              <a:gd name="connsiteX1" fmla="*/ 1971675 w 1971675"/>
              <a:gd name="connsiteY1" fmla="*/ 238125 h 714375"/>
              <a:gd name="connsiteX2" fmla="*/ 0 w 1971675"/>
              <a:gd name="connsiteY2" fmla="*/ 0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71675" h="714375">
                <a:moveTo>
                  <a:pt x="1781175" y="714375"/>
                </a:moveTo>
                <a:lnTo>
                  <a:pt x="1971675" y="238125"/>
                </a:lnTo>
                <a:lnTo>
                  <a:pt x="0" y="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27</xdr:col>
      <xdr:colOff>157163</xdr:colOff>
      <xdr:row>608</xdr:row>
      <xdr:rowOff>52388</xdr:rowOff>
    </xdr:from>
    <xdr:to>
      <xdr:col>47</xdr:col>
      <xdr:colOff>61913</xdr:colOff>
      <xdr:row>624</xdr:row>
      <xdr:rowOff>61913</xdr:rowOff>
    </xdr:to>
    <xdr:grpSp>
      <xdr:nvGrpSpPr>
        <xdr:cNvPr id="277" name="Group 276">
          <a:extLst>
            <a:ext uri="{FF2B5EF4-FFF2-40B4-BE49-F238E27FC236}">
              <a16:creationId xmlns:a16="http://schemas.microsoft.com/office/drawing/2014/main" id="{E1B5EAF3-5945-81B0-8513-52C5BFD71FF4}"/>
            </a:ext>
          </a:extLst>
        </xdr:cNvPr>
        <xdr:cNvGrpSpPr/>
      </xdr:nvGrpSpPr>
      <xdr:grpSpPr>
        <a:xfrm>
          <a:off x="4529138" y="88244363"/>
          <a:ext cx="3143250" cy="2295525"/>
          <a:chOff x="4691063" y="88244363"/>
          <a:chExt cx="3143250" cy="2295525"/>
        </a:xfrm>
      </xdr:grpSpPr>
      <xdr:sp macro="" textlink="">
        <xdr:nvSpPr>
          <xdr:cNvPr id="1306" name="Freeform: Shape 1305">
            <a:extLst>
              <a:ext uri="{FF2B5EF4-FFF2-40B4-BE49-F238E27FC236}">
                <a16:creationId xmlns:a16="http://schemas.microsoft.com/office/drawing/2014/main" id="{6106422F-ACD7-47B9-8D50-AFFCF028C077}"/>
              </a:ext>
            </a:extLst>
          </xdr:cNvPr>
          <xdr:cNvSpPr/>
        </xdr:nvSpPr>
        <xdr:spPr>
          <a:xfrm>
            <a:off x="5181605" y="88330077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35" name="Freeform: Shape 1334">
            <a:extLst>
              <a:ext uri="{FF2B5EF4-FFF2-40B4-BE49-F238E27FC236}">
                <a16:creationId xmlns:a16="http://schemas.microsoft.com/office/drawing/2014/main" id="{EF3FB6DF-7224-7332-DE55-D97FF33FAF22}"/>
              </a:ext>
            </a:extLst>
          </xdr:cNvPr>
          <xdr:cNvSpPr/>
        </xdr:nvSpPr>
        <xdr:spPr>
          <a:xfrm>
            <a:off x="5067301" y="88244363"/>
            <a:ext cx="2171699" cy="519112"/>
          </a:xfrm>
          <a:custGeom>
            <a:avLst/>
            <a:gdLst>
              <a:gd name="connsiteX0" fmla="*/ 114300 w 2162175"/>
              <a:gd name="connsiteY0" fmla="*/ 519112 h 519112"/>
              <a:gd name="connsiteX1" fmla="*/ 0 w 2162175"/>
              <a:gd name="connsiteY1" fmla="*/ 0 h 519112"/>
              <a:gd name="connsiteX2" fmla="*/ 2162175 w 2162175"/>
              <a:gd name="connsiteY2" fmla="*/ 514350 h 519112"/>
              <a:gd name="connsiteX3" fmla="*/ 2052638 w 2162175"/>
              <a:gd name="connsiteY3" fmla="*/ 90487 h 5191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162175" h="519112">
                <a:moveTo>
                  <a:pt x="114300" y="519112"/>
                </a:moveTo>
                <a:lnTo>
                  <a:pt x="0" y="0"/>
                </a:lnTo>
                <a:lnTo>
                  <a:pt x="2162175" y="514350"/>
                </a:lnTo>
                <a:lnTo>
                  <a:pt x="2052638" y="90487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36" name="Freeform: Shape 1335">
            <a:extLst>
              <a:ext uri="{FF2B5EF4-FFF2-40B4-BE49-F238E27FC236}">
                <a16:creationId xmlns:a16="http://schemas.microsoft.com/office/drawing/2014/main" id="{5BDAF552-10ED-3A5A-3865-8D58FAD53FED}"/>
              </a:ext>
            </a:extLst>
          </xdr:cNvPr>
          <xdr:cNvSpPr/>
        </xdr:nvSpPr>
        <xdr:spPr>
          <a:xfrm>
            <a:off x="4691063" y="88758713"/>
            <a:ext cx="485775" cy="1714500"/>
          </a:xfrm>
          <a:custGeom>
            <a:avLst/>
            <a:gdLst>
              <a:gd name="connsiteX0" fmla="*/ 485775 w 485775"/>
              <a:gd name="connsiteY0" fmla="*/ 0 h 1714500"/>
              <a:gd name="connsiteX1" fmla="*/ 0 w 485775"/>
              <a:gd name="connsiteY1" fmla="*/ 0 h 1714500"/>
              <a:gd name="connsiteX2" fmla="*/ 485775 w 485775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4500">
                <a:moveTo>
                  <a:pt x="485775" y="0"/>
                </a:moveTo>
                <a:lnTo>
                  <a:pt x="0" y="0"/>
                </a:lnTo>
                <a:lnTo>
                  <a:pt x="485775" y="171450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338" name="Straight Connector 1337">
            <a:extLst>
              <a:ext uri="{FF2B5EF4-FFF2-40B4-BE49-F238E27FC236}">
                <a16:creationId xmlns:a16="http://schemas.microsoft.com/office/drawing/2014/main" id="{5AD40357-EDC0-CC42-12D5-4C05130FD8F7}"/>
              </a:ext>
            </a:extLst>
          </xdr:cNvPr>
          <xdr:cNvCxnSpPr/>
        </xdr:nvCxnSpPr>
        <xdr:spPr>
          <a:xfrm>
            <a:off x="6638925" y="88330089"/>
            <a:ext cx="4857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40" name="Freeform: Shape 1339">
            <a:extLst>
              <a:ext uri="{FF2B5EF4-FFF2-40B4-BE49-F238E27FC236}">
                <a16:creationId xmlns:a16="http://schemas.microsoft.com/office/drawing/2014/main" id="{564FB506-EEF1-8523-9DED-B40F5587F2D7}"/>
              </a:ext>
            </a:extLst>
          </xdr:cNvPr>
          <xdr:cNvSpPr/>
        </xdr:nvSpPr>
        <xdr:spPr>
          <a:xfrm>
            <a:off x="6561736" y="88325325"/>
            <a:ext cx="558202" cy="2147888"/>
          </a:xfrm>
          <a:custGeom>
            <a:avLst/>
            <a:gdLst>
              <a:gd name="connsiteX0" fmla="*/ 558202 w 558202"/>
              <a:gd name="connsiteY0" fmla="*/ 2147888 h 2147888"/>
              <a:gd name="connsiteX1" fmla="*/ 24802 w 558202"/>
              <a:gd name="connsiteY1" fmla="*/ 876300 h 2147888"/>
              <a:gd name="connsiteX2" fmla="*/ 81952 w 558202"/>
              <a:gd name="connsiteY2" fmla="*/ 0 h 21478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558202" h="2147888">
                <a:moveTo>
                  <a:pt x="558202" y="2147888"/>
                </a:moveTo>
                <a:cubicBezTo>
                  <a:pt x="331189" y="1691084"/>
                  <a:pt x="104177" y="1234281"/>
                  <a:pt x="24802" y="876300"/>
                </a:cubicBezTo>
                <a:cubicBezTo>
                  <a:pt x="-54573" y="518319"/>
                  <a:pt x="81952" y="0"/>
                  <a:pt x="81952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D548BE02-8DAE-8828-5551-B74456EECBA7}"/>
              </a:ext>
            </a:extLst>
          </xdr:cNvPr>
          <xdr:cNvCxnSpPr/>
        </xdr:nvCxnSpPr>
        <xdr:spPr>
          <a:xfrm>
            <a:off x="7277100" y="88334850"/>
            <a:ext cx="5572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CE666D3C-1731-0462-A49C-5E24AAF55574}"/>
              </a:ext>
            </a:extLst>
          </xdr:cNvPr>
          <xdr:cNvCxnSpPr/>
        </xdr:nvCxnSpPr>
        <xdr:spPr>
          <a:xfrm>
            <a:off x="7772400" y="88268179"/>
            <a:ext cx="0" cy="227170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70C9AD91-DC47-5471-8F63-112ABF5EF7E2}"/>
              </a:ext>
            </a:extLst>
          </xdr:cNvPr>
          <xdr:cNvCxnSpPr/>
        </xdr:nvCxnSpPr>
        <xdr:spPr>
          <a:xfrm flipH="1">
            <a:off x="7739062" y="883015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952B5D1F-8950-444E-91B1-66767E69BFC6}"/>
              </a:ext>
            </a:extLst>
          </xdr:cNvPr>
          <xdr:cNvCxnSpPr/>
        </xdr:nvCxnSpPr>
        <xdr:spPr>
          <a:xfrm>
            <a:off x="7277100" y="88996838"/>
            <a:ext cx="5572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3C923EEE-5E17-4059-82A8-E9742BB055E0}"/>
              </a:ext>
            </a:extLst>
          </xdr:cNvPr>
          <xdr:cNvCxnSpPr/>
        </xdr:nvCxnSpPr>
        <xdr:spPr>
          <a:xfrm flipH="1">
            <a:off x="7739062" y="8896350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70DCAE34-742B-4519-BEA2-95550ACB985E}"/>
              </a:ext>
            </a:extLst>
          </xdr:cNvPr>
          <xdr:cNvCxnSpPr/>
        </xdr:nvCxnSpPr>
        <xdr:spPr>
          <a:xfrm>
            <a:off x="7277100" y="90477975"/>
            <a:ext cx="5572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939900D9-9B79-4636-B1D1-0F7CF67AD46D}"/>
              </a:ext>
            </a:extLst>
          </xdr:cNvPr>
          <xdr:cNvCxnSpPr/>
        </xdr:nvCxnSpPr>
        <xdr:spPr>
          <a:xfrm flipH="1">
            <a:off x="7739062" y="904446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5B2B3836-9A58-ACC5-7C26-EDB8EDCEB306}"/>
              </a:ext>
            </a:extLst>
          </xdr:cNvPr>
          <xdr:cNvCxnSpPr/>
        </xdr:nvCxnSpPr>
        <xdr:spPr>
          <a:xfrm>
            <a:off x="6562727" y="88996836"/>
            <a:ext cx="561975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80963</xdr:colOff>
      <xdr:row>581</xdr:row>
      <xdr:rowOff>42866</xdr:rowOff>
    </xdr:from>
    <xdr:to>
      <xdr:col>46</xdr:col>
      <xdr:colOff>9525</xdr:colOff>
      <xdr:row>600</xdr:row>
      <xdr:rowOff>80962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658D16D3-EA18-2764-4525-CFC002A93DD9}"/>
            </a:ext>
          </a:extLst>
        </xdr:cNvPr>
        <xdr:cNvGrpSpPr/>
      </xdr:nvGrpSpPr>
      <xdr:grpSpPr>
        <a:xfrm>
          <a:off x="4614863" y="84377216"/>
          <a:ext cx="2843212" cy="2752721"/>
          <a:chOff x="4776788" y="84377216"/>
          <a:chExt cx="2843212" cy="2752721"/>
        </a:xfrm>
      </xdr:grpSpPr>
      <xdr:sp macro="" textlink="">
        <xdr:nvSpPr>
          <xdr:cNvPr id="1247" name="Freeform: Shape 1246">
            <a:extLst>
              <a:ext uri="{FF2B5EF4-FFF2-40B4-BE49-F238E27FC236}">
                <a16:creationId xmlns:a16="http://schemas.microsoft.com/office/drawing/2014/main" id="{79E2E3F9-61A3-4369-B83C-C645493CF1EF}"/>
              </a:ext>
            </a:extLst>
          </xdr:cNvPr>
          <xdr:cNvSpPr/>
        </xdr:nvSpPr>
        <xdr:spPr>
          <a:xfrm>
            <a:off x="5181605" y="84901077"/>
            <a:ext cx="1943100" cy="2147887"/>
          </a:xfrm>
          <a:custGeom>
            <a:avLst/>
            <a:gdLst>
              <a:gd name="connsiteX0" fmla="*/ 0 w 1938338"/>
              <a:gd name="connsiteY0" fmla="*/ 2143125 h 2147887"/>
              <a:gd name="connsiteX1" fmla="*/ 0 w 1938338"/>
              <a:gd name="connsiteY1" fmla="*/ 433387 h 2147887"/>
              <a:gd name="connsiteX2" fmla="*/ 1938338 w 1938338"/>
              <a:gd name="connsiteY2" fmla="*/ 0 h 2147887"/>
              <a:gd name="connsiteX3" fmla="*/ 1938338 w 1938338"/>
              <a:gd name="connsiteY3" fmla="*/ 2147887 h 2147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8" h="2147887">
                <a:moveTo>
                  <a:pt x="0" y="2143125"/>
                </a:moveTo>
                <a:lnTo>
                  <a:pt x="0" y="433387"/>
                </a:lnTo>
                <a:lnTo>
                  <a:pt x="1938338" y="0"/>
                </a:lnTo>
                <a:lnTo>
                  <a:pt x="1938338" y="214788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48" name="Freeform: Shape 1247">
            <a:extLst>
              <a:ext uri="{FF2B5EF4-FFF2-40B4-BE49-F238E27FC236}">
                <a16:creationId xmlns:a16="http://schemas.microsoft.com/office/drawing/2014/main" id="{06CFE8D2-B632-46D7-8B7D-8696C23D0735}"/>
              </a:ext>
            </a:extLst>
          </xdr:cNvPr>
          <xdr:cNvSpPr/>
        </xdr:nvSpPr>
        <xdr:spPr>
          <a:xfrm>
            <a:off x="7124700" y="84905850"/>
            <a:ext cx="495300" cy="2143125"/>
          </a:xfrm>
          <a:custGeom>
            <a:avLst/>
            <a:gdLst>
              <a:gd name="connsiteX0" fmla="*/ 0 w 495300"/>
              <a:gd name="connsiteY0" fmla="*/ 0 h 2143125"/>
              <a:gd name="connsiteX1" fmla="*/ 495300 w 495300"/>
              <a:gd name="connsiteY1" fmla="*/ 0 h 2143125"/>
              <a:gd name="connsiteX2" fmla="*/ 4763 w 495300"/>
              <a:gd name="connsiteY2" fmla="*/ 2143125 h 2143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5300" h="2143125">
                <a:moveTo>
                  <a:pt x="0" y="0"/>
                </a:moveTo>
                <a:lnTo>
                  <a:pt x="495300" y="0"/>
                </a:lnTo>
                <a:lnTo>
                  <a:pt x="4763" y="214312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72" name="Freeform: Shape 1271">
            <a:extLst>
              <a:ext uri="{FF2B5EF4-FFF2-40B4-BE49-F238E27FC236}">
                <a16:creationId xmlns:a16="http://schemas.microsoft.com/office/drawing/2014/main" id="{3380FC6A-D87B-2E70-4099-8F6198645A39}"/>
              </a:ext>
            </a:extLst>
          </xdr:cNvPr>
          <xdr:cNvSpPr/>
        </xdr:nvSpPr>
        <xdr:spPr>
          <a:xfrm>
            <a:off x="5176835" y="84377216"/>
            <a:ext cx="1947863" cy="1495425"/>
          </a:xfrm>
          <a:custGeom>
            <a:avLst/>
            <a:gdLst>
              <a:gd name="connsiteX0" fmla="*/ 0 w 1947863"/>
              <a:gd name="connsiteY0" fmla="*/ 952500 h 1495425"/>
              <a:gd name="connsiteX1" fmla="*/ 128588 w 1947863"/>
              <a:gd name="connsiteY1" fmla="*/ 1495425 h 1495425"/>
              <a:gd name="connsiteX2" fmla="*/ 1828800 w 1947863"/>
              <a:gd name="connsiteY2" fmla="*/ 0 h 1495425"/>
              <a:gd name="connsiteX3" fmla="*/ 1947863 w 1947863"/>
              <a:gd name="connsiteY3" fmla="*/ 523875 h 14954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495425">
                <a:moveTo>
                  <a:pt x="0" y="952500"/>
                </a:moveTo>
                <a:lnTo>
                  <a:pt x="128588" y="1495425"/>
                </a:lnTo>
                <a:lnTo>
                  <a:pt x="1828800" y="0"/>
                </a:lnTo>
                <a:lnTo>
                  <a:pt x="1947863" y="5238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74" name="Straight Connector 1273">
            <a:extLst>
              <a:ext uri="{FF2B5EF4-FFF2-40B4-BE49-F238E27FC236}">
                <a16:creationId xmlns:a16="http://schemas.microsoft.com/office/drawing/2014/main" id="{0D3BB749-DF24-1FAD-1BFA-CE0A6B437AB5}"/>
              </a:ext>
            </a:extLst>
          </xdr:cNvPr>
          <xdr:cNvCxnSpPr/>
        </xdr:nvCxnSpPr>
        <xdr:spPr>
          <a:xfrm>
            <a:off x="5186363" y="85334475"/>
            <a:ext cx="5048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6" name="Freeform: Shape 1275">
            <a:extLst>
              <a:ext uri="{FF2B5EF4-FFF2-40B4-BE49-F238E27FC236}">
                <a16:creationId xmlns:a16="http://schemas.microsoft.com/office/drawing/2014/main" id="{00A0C32A-20D5-257E-6571-EC733285299D}"/>
              </a:ext>
            </a:extLst>
          </xdr:cNvPr>
          <xdr:cNvSpPr/>
        </xdr:nvSpPr>
        <xdr:spPr>
          <a:xfrm>
            <a:off x="5186363" y="85339238"/>
            <a:ext cx="690775" cy="1709737"/>
          </a:xfrm>
          <a:custGeom>
            <a:avLst/>
            <a:gdLst>
              <a:gd name="connsiteX0" fmla="*/ 0 w 690775"/>
              <a:gd name="connsiteY0" fmla="*/ 1709737 h 1709737"/>
              <a:gd name="connsiteX1" fmla="*/ 661987 w 690775"/>
              <a:gd name="connsiteY1" fmla="*/ 671512 h 1709737"/>
              <a:gd name="connsiteX2" fmla="*/ 509587 w 690775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90775" h="1709737">
                <a:moveTo>
                  <a:pt x="0" y="1709737"/>
                </a:moveTo>
                <a:cubicBezTo>
                  <a:pt x="288528" y="1333102"/>
                  <a:pt x="577056" y="956468"/>
                  <a:pt x="661987" y="671512"/>
                </a:cubicBezTo>
                <a:cubicBezTo>
                  <a:pt x="746918" y="386556"/>
                  <a:pt x="628252" y="193278"/>
                  <a:pt x="509587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E35AAD74-AE73-4D30-BE10-1F8841E9D62B}"/>
              </a:ext>
            </a:extLst>
          </xdr:cNvPr>
          <xdr:cNvCxnSpPr/>
        </xdr:nvCxnSpPr>
        <xdr:spPr>
          <a:xfrm>
            <a:off x="5181600" y="85905975"/>
            <a:ext cx="68580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E67F362D-21CA-0400-8A57-2973B0452102}"/>
              </a:ext>
            </a:extLst>
          </xdr:cNvPr>
          <xdr:cNvCxnSpPr/>
        </xdr:nvCxnSpPr>
        <xdr:spPr>
          <a:xfrm flipH="1">
            <a:off x="4776788" y="85334475"/>
            <a:ext cx="319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74545229-8657-92C5-B321-28DC3C817EC1}"/>
              </a:ext>
            </a:extLst>
          </xdr:cNvPr>
          <xdr:cNvCxnSpPr/>
        </xdr:nvCxnSpPr>
        <xdr:spPr>
          <a:xfrm>
            <a:off x="4857750" y="85253512"/>
            <a:ext cx="0" cy="1876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FBBDD7F3-50B9-E1FC-6222-3B8AD65F3BDB}"/>
              </a:ext>
            </a:extLst>
          </xdr:cNvPr>
          <xdr:cNvCxnSpPr/>
        </xdr:nvCxnSpPr>
        <xdr:spPr>
          <a:xfrm flipH="1">
            <a:off x="4819649" y="852963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3356578C-E04C-4020-9BE6-863A9015BF1A}"/>
              </a:ext>
            </a:extLst>
          </xdr:cNvPr>
          <xdr:cNvCxnSpPr/>
        </xdr:nvCxnSpPr>
        <xdr:spPr>
          <a:xfrm flipH="1">
            <a:off x="4776788" y="87048975"/>
            <a:ext cx="319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3F5AB73A-9B4A-4DF3-B737-B9899FC7FC72}"/>
              </a:ext>
            </a:extLst>
          </xdr:cNvPr>
          <xdr:cNvCxnSpPr/>
        </xdr:nvCxnSpPr>
        <xdr:spPr>
          <a:xfrm flipH="1">
            <a:off x="4819649" y="870108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2EBA89F8-614B-49A0-803B-DFB1D72088E5}"/>
              </a:ext>
            </a:extLst>
          </xdr:cNvPr>
          <xdr:cNvCxnSpPr/>
        </xdr:nvCxnSpPr>
        <xdr:spPr>
          <a:xfrm flipH="1">
            <a:off x="4776788" y="85905975"/>
            <a:ext cx="319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DED96FF3-ED20-439B-B857-F68C2CF5263A}"/>
              </a:ext>
            </a:extLst>
          </xdr:cNvPr>
          <xdr:cNvCxnSpPr/>
        </xdr:nvCxnSpPr>
        <xdr:spPr>
          <a:xfrm flipH="1">
            <a:off x="4819649" y="858678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161922</xdr:colOff>
      <xdr:row>245</xdr:row>
      <xdr:rowOff>0</xdr:rowOff>
    </xdr:from>
    <xdr:to>
      <xdr:col>41</xdr:col>
      <xdr:colOff>157163</xdr:colOff>
      <xdr:row>260</xdr:row>
      <xdr:rowOff>66675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2DC88C66-FA9A-71C3-BFE2-A39E3A1DABFF}"/>
            </a:ext>
          </a:extLst>
        </xdr:cNvPr>
        <xdr:cNvGrpSpPr/>
      </xdr:nvGrpSpPr>
      <xdr:grpSpPr>
        <a:xfrm>
          <a:off x="4371972" y="35452050"/>
          <a:ext cx="2424116" cy="2209800"/>
          <a:chOff x="4533897" y="35452050"/>
          <a:chExt cx="2424116" cy="2209800"/>
        </a:xfrm>
      </xdr:grpSpPr>
      <xdr:sp macro="" textlink="">
        <xdr:nvSpPr>
          <xdr:cNvPr id="583" name="Freeform: Shape 582">
            <a:extLst>
              <a:ext uri="{FF2B5EF4-FFF2-40B4-BE49-F238E27FC236}">
                <a16:creationId xmlns:a16="http://schemas.microsoft.com/office/drawing/2014/main" id="{2E550127-A05F-49F6-B0C6-D109C261FEBC}"/>
              </a:ext>
            </a:extLst>
          </xdr:cNvPr>
          <xdr:cNvSpPr/>
        </xdr:nvSpPr>
        <xdr:spPr>
          <a:xfrm>
            <a:off x="4533897" y="35880675"/>
            <a:ext cx="1943100" cy="1719263"/>
          </a:xfrm>
          <a:custGeom>
            <a:avLst/>
            <a:gdLst>
              <a:gd name="connsiteX0" fmla="*/ 0 w 1947863"/>
              <a:gd name="connsiteY0" fmla="*/ 1714500 h 1719263"/>
              <a:gd name="connsiteX1" fmla="*/ 0 w 1947863"/>
              <a:gd name="connsiteY1" fmla="*/ 0 h 1719263"/>
              <a:gd name="connsiteX2" fmla="*/ 1947863 w 1947863"/>
              <a:gd name="connsiteY2" fmla="*/ 0 h 1719263"/>
              <a:gd name="connsiteX3" fmla="*/ 1947863 w 1947863"/>
              <a:gd name="connsiteY3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1719263">
                <a:moveTo>
                  <a:pt x="0" y="1714500"/>
                </a:moveTo>
                <a:lnTo>
                  <a:pt x="0" y="0"/>
                </a:lnTo>
                <a:lnTo>
                  <a:pt x="1947863" y="0"/>
                </a:lnTo>
                <a:lnTo>
                  <a:pt x="1947863" y="1719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84" name="Freeform: Shape 583">
            <a:extLst>
              <a:ext uri="{FF2B5EF4-FFF2-40B4-BE49-F238E27FC236}">
                <a16:creationId xmlns:a16="http://schemas.microsoft.com/office/drawing/2014/main" id="{AC3D045B-E6A8-4B3B-89AB-544AC046B972}"/>
              </a:ext>
            </a:extLst>
          </xdr:cNvPr>
          <xdr:cNvSpPr/>
        </xdr:nvSpPr>
        <xdr:spPr>
          <a:xfrm>
            <a:off x="6472238" y="35880675"/>
            <a:ext cx="485775" cy="1719263"/>
          </a:xfrm>
          <a:custGeom>
            <a:avLst/>
            <a:gdLst>
              <a:gd name="connsiteX0" fmla="*/ 4762 w 485775"/>
              <a:gd name="connsiteY0" fmla="*/ 0 h 1719263"/>
              <a:gd name="connsiteX1" fmla="*/ 485775 w 485775"/>
              <a:gd name="connsiteY1" fmla="*/ 0 h 1719263"/>
              <a:gd name="connsiteX2" fmla="*/ 0 w 485775"/>
              <a:gd name="connsiteY2" fmla="*/ 1719263 h 1719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85775" h="1719263">
                <a:moveTo>
                  <a:pt x="4762" y="0"/>
                </a:moveTo>
                <a:lnTo>
                  <a:pt x="485775" y="0"/>
                </a:lnTo>
                <a:lnTo>
                  <a:pt x="0" y="171926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87" name="Freeform: Shape 586">
            <a:extLst>
              <a:ext uri="{FF2B5EF4-FFF2-40B4-BE49-F238E27FC236}">
                <a16:creationId xmlns:a16="http://schemas.microsoft.com/office/drawing/2014/main" id="{A68F913F-FA30-4726-BEE2-3A3B9BBE5A21}"/>
              </a:ext>
            </a:extLst>
          </xdr:cNvPr>
          <xdr:cNvSpPr/>
        </xdr:nvSpPr>
        <xdr:spPr>
          <a:xfrm>
            <a:off x="4538663" y="35452050"/>
            <a:ext cx="1938337" cy="862013"/>
          </a:xfrm>
          <a:custGeom>
            <a:avLst/>
            <a:gdLst>
              <a:gd name="connsiteX0" fmla="*/ 0 w 1938337"/>
              <a:gd name="connsiteY0" fmla="*/ 862013 h 862013"/>
              <a:gd name="connsiteX1" fmla="*/ 1938337 w 1938337"/>
              <a:gd name="connsiteY1" fmla="*/ 0 h 862013"/>
              <a:gd name="connsiteX2" fmla="*/ 1938337 w 1938337"/>
              <a:gd name="connsiteY2" fmla="*/ 442913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862013">
                <a:moveTo>
                  <a:pt x="0" y="862013"/>
                </a:moveTo>
                <a:lnTo>
                  <a:pt x="1938337" y="0"/>
                </a:lnTo>
                <a:lnTo>
                  <a:pt x="1938337" y="442913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18" name="Freeform: Shape 617">
            <a:extLst>
              <a:ext uri="{FF2B5EF4-FFF2-40B4-BE49-F238E27FC236}">
                <a16:creationId xmlns:a16="http://schemas.microsoft.com/office/drawing/2014/main" id="{2F576A92-46E0-94C2-29F1-E50D1F8C3944}"/>
              </a:ext>
            </a:extLst>
          </xdr:cNvPr>
          <xdr:cNvSpPr/>
        </xdr:nvSpPr>
        <xdr:spPr>
          <a:xfrm>
            <a:off x="4538663" y="35880675"/>
            <a:ext cx="727577" cy="1714500"/>
          </a:xfrm>
          <a:custGeom>
            <a:avLst/>
            <a:gdLst>
              <a:gd name="connsiteX0" fmla="*/ 485775 w 727577"/>
              <a:gd name="connsiteY0" fmla="*/ 0 h 1714500"/>
              <a:gd name="connsiteX1" fmla="*/ 704850 w 727577"/>
              <a:gd name="connsiteY1" fmla="*/ 719138 h 1714500"/>
              <a:gd name="connsiteX2" fmla="*/ 0 w 727577"/>
              <a:gd name="connsiteY2" fmla="*/ 1714500 h 1714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27577" h="1714500">
                <a:moveTo>
                  <a:pt x="485775" y="0"/>
                </a:moveTo>
                <a:cubicBezTo>
                  <a:pt x="635794" y="216694"/>
                  <a:pt x="785813" y="433388"/>
                  <a:pt x="704850" y="719138"/>
                </a:cubicBezTo>
                <a:cubicBezTo>
                  <a:pt x="623888" y="1004888"/>
                  <a:pt x="0" y="1714500"/>
                  <a:pt x="0" y="171450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889F932E-D9BF-C64C-DFB7-C6A4B4051651}"/>
              </a:ext>
            </a:extLst>
          </xdr:cNvPr>
          <xdr:cNvCxnSpPr/>
        </xdr:nvCxnSpPr>
        <xdr:spPr>
          <a:xfrm>
            <a:off x="4538663" y="36452174"/>
            <a:ext cx="73342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ACCC2329-9B1A-6F9F-B761-95291A5C364F}"/>
              </a:ext>
            </a:extLst>
          </xdr:cNvPr>
          <xdr:cNvCxnSpPr/>
        </xdr:nvCxnSpPr>
        <xdr:spPr>
          <a:xfrm>
            <a:off x="5338759" y="36452175"/>
            <a:ext cx="3905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A0DFA9DB-1BED-8609-3554-B15744F3DF1A}"/>
              </a:ext>
            </a:extLst>
          </xdr:cNvPr>
          <xdr:cNvCxnSpPr/>
        </xdr:nvCxnSpPr>
        <xdr:spPr>
          <a:xfrm>
            <a:off x="5667376" y="36385500"/>
            <a:ext cx="0" cy="1276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16505FC7-479C-73D9-EAA1-3AFEE120B119}"/>
              </a:ext>
            </a:extLst>
          </xdr:cNvPr>
          <xdr:cNvCxnSpPr/>
        </xdr:nvCxnSpPr>
        <xdr:spPr>
          <a:xfrm flipH="1">
            <a:off x="5634037" y="36423601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DB204822-674A-4775-8030-BDB0CFDE59E6}"/>
              </a:ext>
            </a:extLst>
          </xdr:cNvPr>
          <xdr:cNvCxnSpPr/>
        </xdr:nvCxnSpPr>
        <xdr:spPr>
          <a:xfrm>
            <a:off x="4676775" y="37595173"/>
            <a:ext cx="104774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B9F4B9EF-486C-4F4E-B8FD-2DBA48D6B3E0}"/>
              </a:ext>
            </a:extLst>
          </xdr:cNvPr>
          <xdr:cNvCxnSpPr/>
        </xdr:nvCxnSpPr>
        <xdr:spPr>
          <a:xfrm flipH="1">
            <a:off x="5634037" y="37566599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80964</xdr:colOff>
      <xdr:row>975</xdr:row>
      <xdr:rowOff>76200</xdr:rowOff>
    </xdr:from>
    <xdr:to>
      <xdr:col>32</xdr:col>
      <xdr:colOff>4762</xdr:colOff>
      <xdr:row>999</xdr:row>
      <xdr:rowOff>66675</xdr:rowOff>
    </xdr:to>
    <xdr:grpSp>
      <xdr:nvGrpSpPr>
        <xdr:cNvPr id="499" name="Group 498">
          <a:extLst>
            <a:ext uri="{FF2B5EF4-FFF2-40B4-BE49-F238E27FC236}">
              <a16:creationId xmlns:a16="http://schemas.microsoft.com/office/drawing/2014/main" id="{962B5987-811D-6003-4FFF-A56D1B41B052}"/>
            </a:ext>
          </a:extLst>
        </xdr:cNvPr>
        <xdr:cNvGrpSpPr/>
      </xdr:nvGrpSpPr>
      <xdr:grpSpPr>
        <a:xfrm>
          <a:off x="404814" y="141579600"/>
          <a:ext cx="4781548" cy="3419475"/>
          <a:chOff x="404814" y="141579600"/>
          <a:chExt cx="4781548" cy="3419475"/>
        </a:xfrm>
      </xdr:grpSpPr>
      <xdr:sp macro="" textlink="">
        <xdr:nvSpPr>
          <xdr:cNvPr id="38" name="Freeform: Shape 37">
            <a:extLst>
              <a:ext uri="{FF2B5EF4-FFF2-40B4-BE49-F238E27FC236}">
                <a16:creationId xmlns:a16="http://schemas.microsoft.com/office/drawing/2014/main" id="{A0FB4571-E001-41E5-48C0-6DE1F25A6821}"/>
              </a:ext>
            </a:extLst>
          </xdr:cNvPr>
          <xdr:cNvSpPr/>
        </xdr:nvSpPr>
        <xdr:spPr>
          <a:xfrm>
            <a:off x="1138237" y="141651038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A10928C8-BF40-5660-A977-22C2FD4D77FA}"/>
              </a:ext>
            </a:extLst>
          </xdr:cNvPr>
          <xdr:cNvSpPr/>
        </xdr:nvSpPr>
        <xdr:spPr>
          <a:xfrm>
            <a:off x="976313" y="1440799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B2913272-FF21-6706-C90D-860E4B410CA1}"/>
              </a:ext>
            </a:extLst>
          </xdr:cNvPr>
          <xdr:cNvCxnSpPr/>
        </xdr:nvCxnSpPr>
        <xdr:spPr>
          <a:xfrm>
            <a:off x="971550" y="1440751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F48C806C-44C1-6C3E-67BD-64375BBC9D97}"/>
              </a:ext>
            </a:extLst>
          </xdr:cNvPr>
          <xdr:cNvSpPr/>
        </xdr:nvSpPr>
        <xdr:spPr>
          <a:xfrm>
            <a:off x="4538663" y="144084663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1348690A-CE80-0889-E841-F3A46800F7DE}"/>
              </a:ext>
            </a:extLst>
          </xdr:cNvPr>
          <xdr:cNvCxnSpPr/>
        </xdr:nvCxnSpPr>
        <xdr:spPr>
          <a:xfrm>
            <a:off x="4533900" y="144079902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2BAEE8CE-D5DF-16C8-F4C4-91844EEB16BD}"/>
              </a:ext>
            </a:extLst>
          </xdr:cNvPr>
          <xdr:cNvCxnSpPr/>
        </xdr:nvCxnSpPr>
        <xdr:spPr>
          <a:xfrm>
            <a:off x="404814" y="144075151"/>
            <a:ext cx="50958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Connector 290">
            <a:extLst>
              <a:ext uri="{FF2B5EF4-FFF2-40B4-BE49-F238E27FC236}">
                <a16:creationId xmlns:a16="http://schemas.microsoft.com/office/drawing/2014/main" id="{9C16C908-F45E-E63C-50BC-A81B31518733}"/>
              </a:ext>
            </a:extLst>
          </xdr:cNvPr>
          <xdr:cNvCxnSpPr/>
        </xdr:nvCxnSpPr>
        <xdr:spPr>
          <a:xfrm flipH="1">
            <a:off x="442914" y="144041812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Arrow Connector 291">
            <a:extLst>
              <a:ext uri="{FF2B5EF4-FFF2-40B4-BE49-F238E27FC236}">
                <a16:creationId xmlns:a16="http://schemas.microsoft.com/office/drawing/2014/main" id="{6CEFB732-974D-EB9C-64B2-D062555532D2}"/>
              </a:ext>
            </a:extLst>
          </xdr:cNvPr>
          <xdr:cNvCxnSpPr/>
        </xdr:nvCxnSpPr>
        <xdr:spPr>
          <a:xfrm flipV="1">
            <a:off x="1133475" y="144198969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Arrow Connector 292">
            <a:extLst>
              <a:ext uri="{FF2B5EF4-FFF2-40B4-BE49-F238E27FC236}">
                <a16:creationId xmlns:a16="http://schemas.microsoft.com/office/drawing/2014/main" id="{84A86251-1B6B-9E76-2601-7615F4A62ECB}"/>
              </a:ext>
            </a:extLst>
          </xdr:cNvPr>
          <xdr:cNvCxnSpPr/>
        </xdr:nvCxnSpPr>
        <xdr:spPr>
          <a:xfrm flipV="1">
            <a:off x="4695825" y="144198969"/>
            <a:ext cx="0" cy="30480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Arrow Connector 293">
            <a:extLst>
              <a:ext uri="{FF2B5EF4-FFF2-40B4-BE49-F238E27FC236}">
                <a16:creationId xmlns:a16="http://schemas.microsoft.com/office/drawing/2014/main" id="{5D6C2984-87C2-B6BA-B8A1-6EADE5F52E34}"/>
              </a:ext>
            </a:extLst>
          </xdr:cNvPr>
          <xdr:cNvCxnSpPr/>
        </xdr:nvCxnSpPr>
        <xdr:spPr>
          <a:xfrm flipH="1">
            <a:off x="4876799" y="144075150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86A6D074-A1AB-A875-73A8-4EAC8A9E0FD8}"/>
              </a:ext>
            </a:extLst>
          </xdr:cNvPr>
          <xdr:cNvCxnSpPr/>
        </xdr:nvCxnSpPr>
        <xdr:spPr>
          <a:xfrm flipV="1">
            <a:off x="485775" y="141579600"/>
            <a:ext cx="0" cy="2576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FFB27F0D-473C-E5DF-719A-2B4E2FF1C390}"/>
              </a:ext>
            </a:extLst>
          </xdr:cNvPr>
          <xdr:cNvCxnSpPr/>
        </xdr:nvCxnSpPr>
        <xdr:spPr>
          <a:xfrm>
            <a:off x="419100" y="141646276"/>
            <a:ext cx="2271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63792E6D-77B0-F9A7-E34D-3758322DB897}"/>
              </a:ext>
            </a:extLst>
          </xdr:cNvPr>
          <xdr:cNvCxnSpPr/>
        </xdr:nvCxnSpPr>
        <xdr:spPr>
          <a:xfrm flipH="1">
            <a:off x="452438" y="14161770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C0BB008D-6E6C-7C91-09FE-6D77C1056294}"/>
              </a:ext>
            </a:extLst>
          </xdr:cNvPr>
          <xdr:cNvCxnSpPr/>
        </xdr:nvCxnSpPr>
        <xdr:spPr>
          <a:xfrm>
            <a:off x="419100" y="142360651"/>
            <a:ext cx="609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10EF0B68-F49B-ACEB-1822-A809561C832C}"/>
              </a:ext>
            </a:extLst>
          </xdr:cNvPr>
          <xdr:cNvCxnSpPr/>
        </xdr:nvCxnSpPr>
        <xdr:spPr>
          <a:xfrm flipH="1">
            <a:off x="452438" y="1423320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24F82E43-9D73-076E-AE07-E917BB5525DF}"/>
              </a:ext>
            </a:extLst>
          </xdr:cNvPr>
          <xdr:cNvCxnSpPr/>
        </xdr:nvCxnSpPr>
        <xdr:spPr>
          <a:xfrm>
            <a:off x="1133475" y="1446990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Connector 300">
            <a:extLst>
              <a:ext uri="{FF2B5EF4-FFF2-40B4-BE49-F238E27FC236}">
                <a16:creationId xmlns:a16="http://schemas.microsoft.com/office/drawing/2014/main" id="{0BF73791-812D-C5C0-F9D8-05EF2A31D70C}"/>
              </a:ext>
            </a:extLst>
          </xdr:cNvPr>
          <xdr:cNvCxnSpPr/>
        </xdr:nvCxnSpPr>
        <xdr:spPr>
          <a:xfrm>
            <a:off x="1052514" y="144932401"/>
            <a:ext cx="37195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Connector 301">
            <a:extLst>
              <a:ext uri="{FF2B5EF4-FFF2-40B4-BE49-F238E27FC236}">
                <a16:creationId xmlns:a16="http://schemas.microsoft.com/office/drawing/2014/main" id="{408469F2-CFBC-1902-710D-FC7C914F65DB}"/>
              </a:ext>
            </a:extLst>
          </xdr:cNvPr>
          <xdr:cNvCxnSpPr/>
        </xdr:nvCxnSpPr>
        <xdr:spPr>
          <a:xfrm flipH="1">
            <a:off x="1095377" y="1448943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FF712B3D-AB69-C333-17FF-4FD2833719E8}"/>
              </a:ext>
            </a:extLst>
          </xdr:cNvPr>
          <xdr:cNvCxnSpPr/>
        </xdr:nvCxnSpPr>
        <xdr:spPr>
          <a:xfrm>
            <a:off x="4695841" y="144713325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84860410-C319-AF34-22CD-BE0EEA3E1F4C}"/>
              </a:ext>
            </a:extLst>
          </xdr:cNvPr>
          <xdr:cNvCxnSpPr/>
        </xdr:nvCxnSpPr>
        <xdr:spPr>
          <a:xfrm flipH="1">
            <a:off x="4657743" y="1448943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Arrow Connector 319">
            <a:extLst>
              <a:ext uri="{FF2B5EF4-FFF2-40B4-BE49-F238E27FC236}">
                <a16:creationId xmlns:a16="http://schemas.microsoft.com/office/drawing/2014/main" id="{243BDA52-2023-C894-FEC7-5B19E71F5C01}"/>
              </a:ext>
            </a:extLst>
          </xdr:cNvPr>
          <xdr:cNvCxnSpPr/>
        </xdr:nvCxnSpPr>
        <xdr:spPr>
          <a:xfrm flipH="1">
            <a:off x="666750" y="144075149"/>
            <a:ext cx="309563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4" name="Arc 343">
            <a:extLst>
              <a:ext uri="{FF2B5EF4-FFF2-40B4-BE49-F238E27FC236}">
                <a16:creationId xmlns:a16="http://schemas.microsoft.com/office/drawing/2014/main" id="{C74C2374-E6B6-14C2-8C85-0C57ECCA678A}"/>
              </a:ext>
            </a:extLst>
          </xdr:cNvPr>
          <xdr:cNvSpPr/>
        </xdr:nvSpPr>
        <xdr:spPr>
          <a:xfrm rot="8054857">
            <a:off x="876300" y="143827500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45" name="Arc 344">
            <a:extLst>
              <a:ext uri="{FF2B5EF4-FFF2-40B4-BE49-F238E27FC236}">
                <a16:creationId xmlns:a16="http://schemas.microsoft.com/office/drawing/2014/main" id="{D9D32EFF-4AA5-41F4-429F-BBF824D1648C}"/>
              </a:ext>
            </a:extLst>
          </xdr:cNvPr>
          <xdr:cNvSpPr/>
        </xdr:nvSpPr>
        <xdr:spPr>
          <a:xfrm rot="8054857">
            <a:off x="4429125" y="143841787"/>
            <a:ext cx="525198" cy="525198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07" name="Straight Arrow Connector 406">
            <a:extLst>
              <a:ext uri="{FF2B5EF4-FFF2-40B4-BE49-F238E27FC236}">
                <a16:creationId xmlns:a16="http://schemas.microsoft.com/office/drawing/2014/main" id="{5751B9EE-8F8C-4E1E-9665-E48F7E183F9F}"/>
              </a:ext>
            </a:extLst>
          </xdr:cNvPr>
          <xdr:cNvCxnSpPr/>
        </xdr:nvCxnSpPr>
        <xdr:spPr>
          <a:xfrm>
            <a:off x="1462088" y="142798800"/>
            <a:ext cx="0" cy="3048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Connector 411">
            <a:extLst>
              <a:ext uri="{FF2B5EF4-FFF2-40B4-BE49-F238E27FC236}">
                <a16:creationId xmlns:a16="http://schemas.microsoft.com/office/drawing/2014/main" id="{626B7344-9CC2-4C85-A9DE-D209319EAE89}"/>
              </a:ext>
            </a:extLst>
          </xdr:cNvPr>
          <xdr:cNvCxnSpPr/>
        </xdr:nvCxnSpPr>
        <xdr:spPr>
          <a:xfrm>
            <a:off x="1143000" y="142932150"/>
            <a:ext cx="32861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417" name="Straight Connector 416">
            <a:extLst>
              <a:ext uri="{FF2B5EF4-FFF2-40B4-BE49-F238E27FC236}">
                <a16:creationId xmlns:a16="http://schemas.microsoft.com/office/drawing/2014/main" id="{E84D5E4F-97AE-4A70-9E02-35C1593B2697}"/>
              </a:ext>
            </a:extLst>
          </xdr:cNvPr>
          <xdr:cNvCxnSpPr/>
        </xdr:nvCxnSpPr>
        <xdr:spPr>
          <a:xfrm flipH="1">
            <a:off x="771527" y="1423225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DD0B3D74-F5DC-4DAC-9698-94548196E622}"/>
              </a:ext>
            </a:extLst>
          </xdr:cNvPr>
          <xdr:cNvCxnSpPr/>
        </xdr:nvCxnSpPr>
        <xdr:spPr>
          <a:xfrm flipH="1">
            <a:off x="771527" y="142894048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A7DFB383-8B80-479B-A404-10479130AB68}"/>
              </a:ext>
            </a:extLst>
          </xdr:cNvPr>
          <xdr:cNvCxnSpPr/>
        </xdr:nvCxnSpPr>
        <xdr:spPr>
          <a:xfrm>
            <a:off x="714376" y="142932147"/>
            <a:ext cx="328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E2DF25D7-F70D-E857-E4A5-EC4BBF81EDEF}"/>
              </a:ext>
            </a:extLst>
          </xdr:cNvPr>
          <xdr:cNvCxnSpPr/>
        </xdr:nvCxnSpPr>
        <xdr:spPr>
          <a:xfrm>
            <a:off x="809625" y="142274925"/>
            <a:ext cx="0" cy="1847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A265D3AC-79E4-4A33-8341-620FBC693A7F}"/>
              </a:ext>
            </a:extLst>
          </xdr:cNvPr>
          <xdr:cNvCxnSpPr/>
        </xdr:nvCxnSpPr>
        <xdr:spPr>
          <a:xfrm flipH="1">
            <a:off x="776287" y="144046576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Connector 447">
            <a:extLst>
              <a:ext uri="{FF2B5EF4-FFF2-40B4-BE49-F238E27FC236}">
                <a16:creationId xmlns:a16="http://schemas.microsoft.com/office/drawing/2014/main" id="{D76501D5-3E85-4EE3-BBAF-D55A2F79478F}"/>
              </a:ext>
            </a:extLst>
          </xdr:cNvPr>
          <xdr:cNvCxnSpPr/>
        </xdr:nvCxnSpPr>
        <xdr:spPr>
          <a:xfrm>
            <a:off x="1133474" y="141870113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Connector 449">
            <a:extLst>
              <a:ext uri="{FF2B5EF4-FFF2-40B4-BE49-F238E27FC236}">
                <a16:creationId xmlns:a16="http://schemas.microsoft.com/office/drawing/2014/main" id="{2A0CDDFE-1623-4DFA-AAF5-AE7A1FDD1B0F}"/>
              </a:ext>
            </a:extLst>
          </xdr:cNvPr>
          <xdr:cNvCxnSpPr/>
        </xdr:nvCxnSpPr>
        <xdr:spPr>
          <a:xfrm>
            <a:off x="1066799" y="141932025"/>
            <a:ext cx="457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5A768636-67AA-41ED-A337-3E60C8E51B6A}"/>
              </a:ext>
            </a:extLst>
          </xdr:cNvPr>
          <xdr:cNvCxnSpPr/>
        </xdr:nvCxnSpPr>
        <xdr:spPr>
          <a:xfrm flipH="1">
            <a:off x="1095378" y="14189392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C62B2CF3-FC18-4A64-9175-31CA06F0FB4A}"/>
              </a:ext>
            </a:extLst>
          </xdr:cNvPr>
          <xdr:cNvCxnSpPr/>
        </xdr:nvCxnSpPr>
        <xdr:spPr>
          <a:xfrm>
            <a:off x="1457327" y="141870110"/>
            <a:ext cx="0" cy="2905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92AE7756-E3F7-4728-9D6A-3F7856CA0009}"/>
              </a:ext>
            </a:extLst>
          </xdr:cNvPr>
          <xdr:cNvCxnSpPr/>
        </xdr:nvCxnSpPr>
        <xdr:spPr>
          <a:xfrm flipH="1">
            <a:off x="1419231" y="141893923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152400</xdr:colOff>
      <xdr:row>974</xdr:row>
      <xdr:rowOff>66675</xdr:rowOff>
    </xdr:from>
    <xdr:to>
      <xdr:col>61</xdr:col>
      <xdr:colOff>52388</xdr:colOff>
      <xdr:row>993</xdr:row>
      <xdr:rowOff>0</xdr:rowOff>
    </xdr:to>
    <xdr:grpSp>
      <xdr:nvGrpSpPr>
        <xdr:cNvPr id="502" name="Group 501">
          <a:extLst>
            <a:ext uri="{FF2B5EF4-FFF2-40B4-BE49-F238E27FC236}">
              <a16:creationId xmlns:a16="http://schemas.microsoft.com/office/drawing/2014/main" id="{50979E77-7BC2-8AE1-D1A8-6D40C3E400E5}"/>
            </a:ext>
          </a:extLst>
        </xdr:cNvPr>
        <xdr:cNvGrpSpPr/>
      </xdr:nvGrpSpPr>
      <xdr:grpSpPr>
        <a:xfrm>
          <a:off x="5657850" y="141427200"/>
          <a:ext cx="4271963" cy="2647950"/>
          <a:chOff x="5657850" y="141427200"/>
          <a:chExt cx="4271963" cy="2647950"/>
        </a:xfrm>
      </xdr:grpSpPr>
      <xdr:sp macro="" textlink="">
        <xdr:nvSpPr>
          <xdr:cNvPr id="347" name="Freeform: Shape 346">
            <a:extLst>
              <a:ext uri="{FF2B5EF4-FFF2-40B4-BE49-F238E27FC236}">
                <a16:creationId xmlns:a16="http://schemas.microsoft.com/office/drawing/2014/main" id="{F9C4C96B-0CE8-2F94-1A0E-53B093534E57}"/>
              </a:ext>
            </a:extLst>
          </xdr:cNvPr>
          <xdr:cNvSpPr/>
        </xdr:nvSpPr>
        <xdr:spPr>
          <a:xfrm>
            <a:off x="6157912" y="141646275"/>
            <a:ext cx="3557590" cy="2428875"/>
          </a:xfrm>
          <a:custGeom>
            <a:avLst/>
            <a:gdLst>
              <a:gd name="connsiteX0" fmla="*/ 0 w 3567113"/>
              <a:gd name="connsiteY0" fmla="*/ 2424113 h 2428875"/>
              <a:gd name="connsiteX1" fmla="*/ 0 w 3567113"/>
              <a:gd name="connsiteY1" fmla="*/ 709613 h 2428875"/>
              <a:gd name="connsiteX2" fmla="*/ 1785938 w 3567113"/>
              <a:gd name="connsiteY2" fmla="*/ 0 h 2428875"/>
              <a:gd name="connsiteX3" fmla="*/ 3567113 w 3567113"/>
              <a:gd name="connsiteY3" fmla="*/ 719138 h 2428875"/>
              <a:gd name="connsiteX4" fmla="*/ 3567113 w 3567113"/>
              <a:gd name="connsiteY4" fmla="*/ 2428875 h 2428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67113" h="2428875">
                <a:moveTo>
                  <a:pt x="0" y="2424113"/>
                </a:moveTo>
                <a:lnTo>
                  <a:pt x="0" y="709613"/>
                </a:lnTo>
                <a:lnTo>
                  <a:pt x="1785938" y="0"/>
                </a:lnTo>
                <a:lnTo>
                  <a:pt x="3567113" y="719138"/>
                </a:lnTo>
                <a:lnTo>
                  <a:pt x="3567113" y="24288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83" name="Freeform: Shape 482">
            <a:extLst>
              <a:ext uri="{FF2B5EF4-FFF2-40B4-BE49-F238E27FC236}">
                <a16:creationId xmlns:a16="http://schemas.microsoft.com/office/drawing/2014/main" id="{0919609E-B0C4-F303-E3ED-01A9516D0FBD}"/>
              </a:ext>
            </a:extLst>
          </xdr:cNvPr>
          <xdr:cNvSpPr/>
        </xdr:nvSpPr>
        <xdr:spPr>
          <a:xfrm>
            <a:off x="5657850" y="142351125"/>
            <a:ext cx="1090613" cy="1719263"/>
          </a:xfrm>
          <a:custGeom>
            <a:avLst/>
            <a:gdLst>
              <a:gd name="connsiteX0" fmla="*/ 504825 w 1090613"/>
              <a:gd name="connsiteY0" fmla="*/ 0 h 1728788"/>
              <a:gd name="connsiteX1" fmla="*/ 919163 w 1090613"/>
              <a:gd name="connsiteY1" fmla="*/ 0 h 1728788"/>
              <a:gd name="connsiteX2" fmla="*/ 1090613 w 1090613"/>
              <a:gd name="connsiteY2" fmla="*/ 581025 h 1728788"/>
              <a:gd name="connsiteX3" fmla="*/ 0 w 1090613"/>
              <a:gd name="connsiteY3" fmla="*/ 581025 h 1728788"/>
              <a:gd name="connsiteX4" fmla="*/ 247650 w 1090613"/>
              <a:gd name="connsiteY4" fmla="*/ 1728788 h 1728788"/>
              <a:gd name="connsiteX5" fmla="*/ 500063 w 1090613"/>
              <a:gd name="connsiteY5" fmla="*/ 1728788 h 1728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90613" h="1728788">
                <a:moveTo>
                  <a:pt x="504825" y="0"/>
                </a:moveTo>
                <a:lnTo>
                  <a:pt x="919163" y="0"/>
                </a:lnTo>
                <a:lnTo>
                  <a:pt x="1090613" y="581025"/>
                </a:lnTo>
                <a:lnTo>
                  <a:pt x="0" y="581025"/>
                </a:lnTo>
                <a:lnTo>
                  <a:pt x="247650" y="1728788"/>
                </a:lnTo>
                <a:lnTo>
                  <a:pt x="500063" y="17287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89" name="Freeform: Shape 488">
            <a:extLst>
              <a:ext uri="{FF2B5EF4-FFF2-40B4-BE49-F238E27FC236}">
                <a16:creationId xmlns:a16="http://schemas.microsoft.com/office/drawing/2014/main" id="{D7919B32-6AC9-88BD-78B5-755445D7FF7A}"/>
              </a:ext>
            </a:extLst>
          </xdr:cNvPr>
          <xdr:cNvSpPr/>
        </xdr:nvSpPr>
        <xdr:spPr>
          <a:xfrm>
            <a:off x="6167437" y="141431963"/>
            <a:ext cx="1781175" cy="1338263"/>
          </a:xfrm>
          <a:custGeom>
            <a:avLst/>
            <a:gdLst>
              <a:gd name="connsiteX0" fmla="*/ 0 w 1781175"/>
              <a:gd name="connsiteY0" fmla="*/ 928688 h 1338263"/>
              <a:gd name="connsiteX1" fmla="*/ 161925 w 1781175"/>
              <a:gd name="connsiteY1" fmla="*/ 1338263 h 1338263"/>
              <a:gd name="connsiteX2" fmla="*/ 1695450 w 1781175"/>
              <a:gd name="connsiteY2" fmla="*/ 0 h 1338263"/>
              <a:gd name="connsiteX3" fmla="*/ 1781175 w 1781175"/>
              <a:gd name="connsiteY3" fmla="*/ 209550 h 1338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81175" h="1338263">
                <a:moveTo>
                  <a:pt x="0" y="928688"/>
                </a:moveTo>
                <a:lnTo>
                  <a:pt x="161925" y="1338263"/>
                </a:lnTo>
                <a:lnTo>
                  <a:pt x="1695450" y="0"/>
                </a:lnTo>
                <a:lnTo>
                  <a:pt x="1781175" y="2095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95" name="Freeform: Shape 494">
            <a:extLst>
              <a:ext uri="{FF2B5EF4-FFF2-40B4-BE49-F238E27FC236}">
                <a16:creationId xmlns:a16="http://schemas.microsoft.com/office/drawing/2014/main" id="{B50F271A-C9CD-2D68-3E99-1FFD8F84263A}"/>
              </a:ext>
            </a:extLst>
          </xdr:cNvPr>
          <xdr:cNvSpPr/>
        </xdr:nvSpPr>
        <xdr:spPr>
          <a:xfrm>
            <a:off x="7948613" y="141427200"/>
            <a:ext cx="1866900" cy="933450"/>
          </a:xfrm>
          <a:custGeom>
            <a:avLst/>
            <a:gdLst>
              <a:gd name="connsiteX0" fmla="*/ 0 w 1866900"/>
              <a:gd name="connsiteY0" fmla="*/ 209550 h 933450"/>
              <a:gd name="connsiteX1" fmla="*/ 90488 w 1866900"/>
              <a:gd name="connsiteY1" fmla="*/ 0 h 933450"/>
              <a:gd name="connsiteX2" fmla="*/ 1866900 w 1866900"/>
              <a:gd name="connsiteY2" fmla="*/ 728662 h 933450"/>
              <a:gd name="connsiteX3" fmla="*/ 1776413 w 1866900"/>
              <a:gd name="connsiteY3" fmla="*/ 933450 h 9334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66900" h="933450">
                <a:moveTo>
                  <a:pt x="0" y="209550"/>
                </a:moveTo>
                <a:lnTo>
                  <a:pt x="90488" y="0"/>
                </a:lnTo>
                <a:lnTo>
                  <a:pt x="1866900" y="728662"/>
                </a:lnTo>
                <a:lnTo>
                  <a:pt x="1776413" y="933450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97" name="Freeform: Shape 496">
            <a:extLst>
              <a:ext uri="{FF2B5EF4-FFF2-40B4-BE49-F238E27FC236}">
                <a16:creationId xmlns:a16="http://schemas.microsoft.com/office/drawing/2014/main" id="{A1A0FD8B-D032-3600-9B77-C6557A0AB794}"/>
              </a:ext>
            </a:extLst>
          </xdr:cNvPr>
          <xdr:cNvSpPr/>
        </xdr:nvSpPr>
        <xdr:spPr>
          <a:xfrm>
            <a:off x="9224963" y="142365413"/>
            <a:ext cx="704850" cy="1704975"/>
          </a:xfrm>
          <a:custGeom>
            <a:avLst/>
            <a:gdLst>
              <a:gd name="connsiteX0" fmla="*/ 490537 w 704850"/>
              <a:gd name="connsiteY0" fmla="*/ 0 h 1704975"/>
              <a:gd name="connsiteX1" fmla="*/ 704850 w 704850"/>
              <a:gd name="connsiteY1" fmla="*/ 0 h 1704975"/>
              <a:gd name="connsiteX2" fmla="*/ 0 w 704850"/>
              <a:gd name="connsiteY2" fmla="*/ 1704975 h 1704975"/>
              <a:gd name="connsiteX3" fmla="*/ 490537 w 704850"/>
              <a:gd name="connsiteY3" fmla="*/ 1704975 h 1704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04850" h="1704975">
                <a:moveTo>
                  <a:pt x="490537" y="0"/>
                </a:moveTo>
                <a:lnTo>
                  <a:pt x="704850" y="0"/>
                </a:lnTo>
                <a:lnTo>
                  <a:pt x="0" y="1704975"/>
                </a:lnTo>
                <a:lnTo>
                  <a:pt x="490537" y="170497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6</xdr:col>
      <xdr:colOff>76200</xdr:colOff>
      <xdr:row>1058</xdr:row>
      <xdr:rowOff>33339</xdr:rowOff>
    </xdr:from>
    <xdr:to>
      <xdr:col>25</xdr:col>
      <xdr:colOff>123820</xdr:colOff>
      <xdr:row>1078</xdr:row>
      <xdr:rowOff>66675</xdr:rowOff>
    </xdr:to>
    <xdr:grpSp>
      <xdr:nvGrpSpPr>
        <xdr:cNvPr id="1564" name="Group 1563">
          <a:extLst>
            <a:ext uri="{FF2B5EF4-FFF2-40B4-BE49-F238E27FC236}">
              <a16:creationId xmlns:a16="http://schemas.microsoft.com/office/drawing/2014/main" id="{5B5F2235-B695-E8F5-3A09-2E47332004C7}"/>
            </a:ext>
          </a:extLst>
        </xdr:cNvPr>
        <xdr:cNvGrpSpPr/>
      </xdr:nvGrpSpPr>
      <xdr:grpSpPr>
        <a:xfrm>
          <a:off x="1047750" y="153833514"/>
          <a:ext cx="3124195" cy="2890836"/>
          <a:chOff x="1047750" y="153833514"/>
          <a:chExt cx="3124195" cy="2890836"/>
        </a:xfrm>
      </xdr:grpSpPr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636109B6-64C2-5233-43AA-BD1A3CFAC0F4}"/>
              </a:ext>
            </a:extLst>
          </xdr:cNvPr>
          <xdr:cNvSpPr/>
        </xdr:nvSpPr>
        <xdr:spPr>
          <a:xfrm rot="16200000">
            <a:off x="3661163" y="154029959"/>
            <a:ext cx="273853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7" name="Freeform: Shape 526">
            <a:extLst>
              <a:ext uri="{FF2B5EF4-FFF2-40B4-BE49-F238E27FC236}">
                <a16:creationId xmlns:a16="http://schemas.microsoft.com/office/drawing/2014/main" id="{5ECE2CF8-0C8E-0AA1-4C58-7EA891448614}"/>
              </a:ext>
            </a:extLst>
          </xdr:cNvPr>
          <xdr:cNvSpPr/>
        </xdr:nvSpPr>
        <xdr:spPr>
          <a:xfrm>
            <a:off x="1785937" y="154081162"/>
            <a:ext cx="1943100" cy="1709737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93779877-F9BF-E36E-01BB-67FB75D5D327}"/>
              </a:ext>
            </a:extLst>
          </xdr:cNvPr>
          <xdr:cNvSpPr/>
        </xdr:nvSpPr>
        <xdr:spPr>
          <a:xfrm>
            <a:off x="1624013" y="1558051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4" name="Oval 323">
            <a:extLst>
              <a:ext uri="{FF2B5EF4-FFF2-40B4-BE49-F238E27FC236}">
                <a16:creationId xmlns:a16="http://schemas.microsoft.com/office/drawing/2014/main" id="{61E1D170-D552-8CD9-3313-2A39DCCA9E02}"/>
              </a:ext>
            </a:extLst>
          </xdr:cNvPr>
          <xdr:cNvSpPr/>
        </xdr:nvSpPr>
        <xdr:spPr>
          <a:xfrm>
            <a:off x="1728789" y="1556908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id="{8090D351-688E-6998-3A5A-941CE6CEC275}"/>
              </a:ext>
            </a:extLst>
          </xdr:cNvPr>
          <xdr:cNvCxnSpPr/>
        </xdr:nvCxnSpPr>
        <xdr:spPr>
          <a:xfrm>
            <a:off x="1619250" y="1558004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Arrow Connector 341">
            <a:extLst>
              <a:ext uri="{FF2B5EF4-FFF2-40B4-BE49-F238E27FC236}">
                <a16:creationId xmlns:a16="http://schemas.microsoft.com/office/drawing/2014/main" id="{FC4EE716-8599-7503-1204-0E0B19DA9013}"/>
              </a:ext>
            </a:extLst>
          </xdr:cNvPr>
          <xdr:cNvCxnSpPr/>
        </xdr:nvCxnSpPr>
        <xdr:spPr>
          <a:xfrm>
            <a:off x="1781176" y="15384303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AE1E982E-2178-2FCF-9A2E-7F405D41983B}"/>
              </a:ext>
            </a:extLst>
          </xdr:cNvPr>
          <xdr:cNvCxnSpPr/>
        </xdr:nvCxnSpPr>
        <xdr:spPr>
          <a:xfrm>
            <a:off x="1776414" y="153833514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Arrow Connector 347">
            <a:extLst>
              <a:ext uri="{FF2B5EF4-FFF2-40B4-BE49-F238E27FC236}">
                <a16:creationId xmlns:a16="http://schemas.microsoft.com/office/drawing/2014/main" id="{DD49FBDA-8359-EA03-D4F3-70C3BB8559C5}"/>
              </a:ext>
            </a:extLst>
          </xdr:cNvPr>
          <xdr:cNvCxnSpPr/>
        </xdr:nvCxnSpPr>
        <xdr:spPr>
          <a:xfrm>
            <a:off x="1943101" y="15384303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Arrow Connector 351">
            <a:extLst>
              <a:ext uri="{FF2B5EF4-FFF2-40B4-BE49-F238E27FC236}">
                <a16:creationId xmlns:a16="http://schemas.microsoft.com/office/drawing/2014/main" id="{07A04604-1D74-44B8-6026-E5D105CDAAEF}"/>
              </a:ext>
            </a:extLst>
          </xdr:cNvPr>
          <xdr:cNvCxnSpPr/>
        </xdr:nvCxnSpPr>
        <xdr:spPr>
          <a:xfrm>
            <a:off x="2105027" y="15384303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Arrow Connector 353">
            <a:extLst>
              <a:ext uri="{FF2B5EF4-FFF2-40B4-BE49-F238E27FC236}">
                <a16:creationId xmlns:a16="http://schemas.microsoft.com/office/drawing/2014/main" id="{7A44F4E3-F269-DFDA-F0CE-FFA487373C67}"/>
              </a:ext>
            </a:extLst>
          </xdr:cNvPr>
          <xdr:cNvCxnSpPr/>
        </xdr:nvCxnSpPr>
        <xdr:spPr>
          <a:xfrm>
            <a:off x="2266952" y="15384303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Arrow Connector 354">
            <a:extLst>
              <a:ext uri="{FF2B5EF4-FFF2-40B4-BE49-F238E27FC236}">
                <a16:creationId xmlns:a16="http://schemas.microsoft.com/office/drawing/2014/main" id="{13D2E7A6-3933-3D22-B917-820F8A7A238A}"/>
              </a:ext>
            </a:extLst>
          </xdr:cNvPr>
          <xdr:cNvCxnSpPr/>
        </xdr:nvCxnSpPr>
        <xdr:spPr>
          <a:xfrm>
            <a:off x="2428876" y="15383827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Arrow Connector 356">
            <a:extLst>
              <a:ext uri="{FF2B5EF4-FFF2-40B4-BE49-F238E27FC236}">
                <a16:creationId xmlns:a16="http://schemas.microsoft.com/office/drawing/2014/main" id="{91EA7DB9-D9A7-4B26-2D9D-8DF0ECAD500F}"/>
              </a:ext>
            </a:extLst>
          </xdr:cNvPr>
          <xdr:cNvCxnSpPr/>
        </xdr:nvCxnSpPr>
        <xdr:spPr>
          <a:xfrm>
            <a:off x="2590801" y="15383827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Arrow Connector 395">
            <a:extLst>
              <a:ext uri="{FF2B5EF4-FFF2-40B4-BE49-F238E27FC236}">
                <a16:creationId xmlns:a16="http://schemas.microsoft.com/office/drawing/2014/main" id="{B00FFF7B-0075-4CD1-FC82-3D26C41F42BF}"/>
              </a:ext>
            </a:extLst>
          </xdr:cNvPr>
          <xdr:cNvCxnSpPr/>
        </xdr:nvCxnSpPr>
        <xdr:spPr>
          <a:xfrm>
            <a:off x="2752727" y="15383827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Arrow Connector 396">
            <a:extLst>
              <a:ext uri="{FF2B5EF4-FFF2-40B4-BE49-F238E27FC236}">
                <a16:creationId xmlns:a16="http://schemas.microsoft.com/office/drawing/2014/main" id="{F620D4BD-D9E4-9CB8-3061-F6377988FED3}"/>
              </a:ext>
            </a:extLst>
          </xdr:cNvPr>
          <xdr:cNvCxnSpPr/>
        </xdr:nvCxnSpPr>
        <xdr:spPr>
          <a:xfrm>
            <a:off x="2914652" y="153838274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Arrow Connector 405">
            <a:extLst>
              <a:ext uri="{FF2B5EF4-FFF2-40B4-BE49-F238E27FC236}">
                <a16:creationId xmlns:a16="http://schemas.microsoft.com/office/drawing/2014/main" id="{28E55198-8C32-5FF0-9739-D47B88164028}"/>
              </a:ext>
            </a:extLst>
          </xdr:cNvPr>
          <xdr:cNvCxnSpPr/>
        </xdr:nvCxnSpPr>
        <xdr:spPr>
          <a:xfrm>
            <a:off x="3076575" y="15384303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Arrow Connector 413">
            <a:extLst>
              <a:ext uri="{FF2B5EF4-FFF2-40B4-BE49-F238E27FC236}">
                <a16:creationId xmlns:a16="http://schemas.microsoft.com/office/drawing/2014/main" id="{F91CF884-B579-9BC1-B364-984373B71EE6}"/>
              </a:ext>
            </a:extLst>
          </xdr:cNvPr>
          <xdr:cNvCxnSpPr/>
        </xdr:nvCxnSpPr>
        <xdr:spPr>
          <a:xfrm>
            <a:off x="3238500" y="15384303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Arrow Connector 420">
            <a:extLst>
              <a:ext uri="{FF2B5EF4-FFF2-40B4-BE49-F238E27FC236}">
                <a16:creationId xmlns:a16="http://schemas.microsoft.com/office/drawing/2014/main" id="{2F9007DE-9E89-2F54-F747-3CA4778AF138}"/>
              </a:ext>
            </a:extLst>
          </xdr:cNvPr>
          <xdr:cNvCxnSpPr/>
        </xdr:nvCxnSpPr>
        <xdr:spPr>
          <a:xfrm>
            <a:off x="3400426" y="15384303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Arrow Connector 445">
            <a:extLst>
              <a:ext uri="{FF2B5EF4-FFF2-40B4-BE49-F238E27FC236}">
                <a16:creationId xmlns:a16="http://schemas.microsoft.com/office/drawing/2014/main" id="{24E43024-3319-BCFE-AD57-8EA5D02323FF}"/>
              </a:ext>
            </a:extLst>
          </xdr:cNvPr>
          <xdr:cNvCxnSpPr/>
        </xdr:nvCxnSpPr>
        <xdr:spPr>
          <a:xfrm>
            <a:off x="3562351" y="15384303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Connector 477">
            <a:extLst>
              <a:ext uri="{FF2B5EF4-FFF2-40B4-BE49-F238E27FC236}">
                <a16:creationId xmlns:a16="http://schemas.microsoft.com/office/drawing/2014/main" id="{C60D7946-68BB-6D8A-7BA6-458308B15E4C}"/>
              </a:ext>
            </a:extLst>
          </xdr:cNvPr>
          <xdr:cNvCxnSpPr/>
        </xdr:nvCxnSpPr>
        <xdr:spPr>
          <a:xfrm>
            <a:off x="1047750" y="154085925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A1D08958-45F5-B03D-6C2C-E7E667DC81F3}"/>
              </a:ext>
            </a:extLst>
          </xdr:cNvPr>
          <xdr:cNvCxnSpPr/>
        </xdr:nvCxnSpPr>
        <xdr:spPr>
          <a:xfrm>
            <a:off x="1133476" y="154004961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0B3EB550-96DD-432E-F368-C2218493517A}"/>
              </a:ext>
            </a:extLst>
          </xdr:cNvPr>
          <xdr:cNvCxnSpPr/>
        </xdr:nvCxnSpPr>
        <xdr:spPr>
          <a:xfrm flipH="1">
            <a:off x="1095375" y="154047824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8925357F-9327-0840-AFD3-80F8B195AD6E}"/>
              </a:ext>
            </a:extLst>
          </xdr:cNvPr>
          <xdr:cNvCxnSpPr/>
        </xdr:nvCxnSpPr>
        <xdr:spPr>
          <a:xfrm>
            <a:off x="1047751" y="155800426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96D16886-0BAF-F91E-58BD-A514BAFD0877}"/>
              </a:ext>
            </a:extLst>
          </xdr:cNvPr>
          <xdr:cNvCxnSpPr/>
        </xdr:nvCxnSpPr>
        <xdr:spPr>
          <a:xfrm flipH="1">
            <a:off x="1095376" y="1557623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EF8AD37F-DD2C-F84F-F786-D1ACDCD60C07}"/>
              </a:ext>
            </a:extLst>
          </xdr:cNvPr>
          <xdr:cNvCxnSpPr/>
        </xdr:nvCxnSpPr>
        <xdr:spPr>
          <a:xfrm>
            <a:off x="1781175" y="156424313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086415D3-F20B-74B2-F890-1D4CD2B21701}"/>
              </a:ext>
            </a:extLst>
          </xdr:cNvPr>
          <xdr:cNvCxnSpPr/>
        </xdr:nvCxnSpPr>
        <xdr:spPr>
          <a:xfrm>
            <a:off x="1700214" y="156657676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6232796C-F441-1938-138D-4B84A5F2C25C}"/>
              </a:ext>
            </a:extLst>
          </xdr:cNvPr>
          <xdr:cNvCxnSpPr/>
        </xdr:nvCxnSpPr>
        <xdr:spPr>
          <a:xfrm flipH="1">
            <a:off x="1743077" y="1566195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Connector 520">
            <a:extLst>
              <a:ext uri="{FF2B5EF4-FFF2-40B4-BE49-F238E27FC236}">
                <a16:creationId xmlns:a16="http://schemas.microsoft.com/office/drawing/2014/main" id="{838654D3-4DF2-6417-3592-CAA500F97BCF}"/>
              </a:ext>
            </a:extLst>
          </xdr:cNvPr>
          <xdr:cNvCxnSpPr/>
        </xdr:nvCxnSpPr>
        <xdr:spPr>
          <a:xfrm>
            <a:off x="3724278" y="154743150"/>
            <a:ext cx="0" cy="1981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Straight Connector 521">
            <a:extLst>
              <a:ext uri="{FF2B5EF4-FFF2-40B4-BE49-F238E27FC236}">
                <a16:creationId xmlns:a16="http://schemas.microsoft.com/office/drawing/2014/main" id="{474ABBE1-94EF-FCDA-F2BE-D4A7253DFAEF}"/>
              </a:ext>
            </a:extLst>
          </xdr:cNvPr>
          <xdr:cNvCxnSpPr/>
        </xdr:nvCxnSpPr>
        <xdr:spPr>
          <a:xfrm flipH="1">
            <a:off x="3686180" y="15661957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Arrow Connector 522">
            <a:extLst>
              <a:ext uri="{FF2B5EF4-FFF2-40B4-BE49-F238E27FC236}">
                <a16:creationId xmlns:a16="http://schemas.microsoft.com/office/drawing/2014/main" id="{DFE275A4-43CA-0A3F-DC18-2F8E1D1396F8}"/>
              </a:ext>
            </a:extLst>
          </xdr:cNvPr>
          <xdr:cNvCxnSpPr/>
        </xdr:nvCxnSpPr>
        <xdr:spPr>
          <a:xfrm flipV="1">
            <a:off x="1781175" y="1559242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Straight Arrow Connector 523">
            <a:extLst>
              <a:ext uri="{FF2B5EF4-FFF2-40B4-BE49-F238E27FC236}">
                <a16:creationId xmlns:a16="http://schemas.microsoft.com/office/drawing/2014/main" id="{777F67A2-F7DC-B28D-F70B-BA1E1DC916CB}"/>
              </a:ext>
            </a:extLst>
          </xdr:cNvPr>
          <xdr:cNvCxnSpPr/>
        </xdr:nvCxnSpPr>
        <xdr:spPr>
          <a:xfrm flipV="1">
            <a:off x="3729033" y="154262132"/>
            <a:ext cx="0" cy="25241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Arrow Connector 524">
            <a:extLst>
              <a:ext uri="{FF2B5EF4-FFF2-40B4-BE49-F238E27FC236}">
                <a16:creationId xmlns:a16="http://schemas.microsoft.com/office/drawing/2014/main" id="{BBEEBD2E-C05A-4642-652C-28D63E856A08}"/>
              </a:ext>
            </a:extLst>
          </xdr:cNvPr>
          <xdr:cNvCxnSpPr/>
        </xdr:nvCxnSpPr>
        <xdr:spPr>
          <a:xfrm>
            <a:off x="1309688" y="155800419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Straight Arrow Connector 525">
            <a:extLst>
              <a:ext uri="{FF2B5EF4-FFF2-40B4-BE49-F238E27FC236}">
                <a16:creationId xmlns:a16="http://schemas.microsoft.com/office/drawing/2014/main" id="{2479212D-4C21-4CBB-3453-DF013CAA7E99}"/>
              </a:ext>
            </a:extLst>
          </xdr:cNvPr>
          <xdr:cNvCxnSpPr/>
        </xdr:nvCxnSpPr>
        <xdr:spPr>
          <a:xfrm flipH="1">
            <a:off x="3862382" y="154081162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6" name="Oval 325">
            <a:extLst>
              <a:ext uri="{FF2B5EF4-FFF2-40B4-BE49-F238E27FC236}">
                <a16:creationId xmlns:a16="http://schemas.microsoft.com/office/drawing/2014/main" id="{149313E1-D091-D81E-91B2-B523579F1B70}"/>
              </a:ext>
            </a:extLst>
          </xdr:cNvPr>
          <xdr:cNvSpPr/>
        </xdr:nvSpPr>
        <xdr:spPr>
          <a:xfrm>
            <a:off x="3614737" y="154028772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CF840B9A-98C8-1962-6687-A9C760A4477A}"/>
              </a:ext>
            </a:extLst>
          </xdr:cNvPr>
          <xdr:cNvCxnSpPr/>
        </xdr:nvCxnSpPr>
        <xdr:spPr>
          <a:xfrm>
            <a:off x="3729034" y="153943051"/>
            <a:ext cx="0" cy="28574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Arrow Connector 446">
            <a:extLst>
              <a:ext uri="{FF2B5EF4-FFF2-40B4-BE49-F238E27FC236}">
                <a16:creationId xmlns:a16="http://schemas.microsoft.com/office/drawing/2014/main" id="{F8482E68-6F93-D72E-E59F-B5B33D994ECA}"/>
              </a:ext>
            </a:extLst>
          </xdr:cNvPr>
          <xdr:cNvCxnSpPr/>
        </xdr:nvCxnSpPr>
        <xdr:spPr>
          <a:xfrm>
            <a:off x="3724276" y="153843036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4763</xdr:colOff>
      <xdr:row>1056</xdr:row>
      <xdr:rowOff>88107</xdr:rowOff>
    </xdr:from>
    <xdr:to>
      <xdr:col>45</xdr:col>
      <xdr:colOff>57150</xdr:colOff>
      <xdr:row>1071</xdr:row>
      <xdr:rowOff>142874</xdr:rowOff>
    </xdr:to>
    <xdr:grpSp>
      <xdr:nvGrpSpPr>
        <xdr:cNvPr id="1565" name="Group 1564">
          <a:extLst>
            <a:ext uri="{FF2B5EF4-FFF2-40B4-BE49-F238E27FC236}">
              <a16:creationId xmlns:a16="http://schemas.microsoft.com/office/drawing/2014/main" id="{0C558667-5785-0A26-972F-AC50A7CF8E92}"/>
            </a:ext>
          </a:extLst>
        </xdr:cNvPr>
        <xdr:cNvGrpSpPr/>
      </xdr:nvGrpSpPr>
      <xdr:grpSpPr>
        <a:xfrm>
          <a:off x="4862513" y="153602532"/>
          <a:ext cx="2481262" cy="2197892"/>
          <a:chOff x="4862513" y="153602532"/>
          <a:chExt cx="2481262" cy="2197892"/>
        </a:xfrm>
      </xdr:grpSpPr>
      <xdr:sp macro="" textlink="">
        <xdr:nvSpPr>
          <xdr:cNvPr id="548" name="Freeform: Shape 547">
            <a:extLst>
              <a:ext uri="{FF2B5EF4-FFF2-40B4-BE49-F238E27FC236}">
                <a16:creationId xmlns:a16="http://schemas.microsoft.com/office/drawing/2014/main" id="{179BAF05-E895-4C04-8166-DE64ABACA1F8}"/>
              </a:ext>
            </a:extLst>
          </xdr:cNvPr>
          <xdr:cNvSpPr/>
        </xdr:nvSpPr>
        <xdr:spPr>
          <a:xfrm>
            <a:off x="5348287" y="154090687"/>
            <a:ext cx="1943100" cy="1709737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49" name="Freeform: Shape 548">
            <a:extLst>
              <a:ext uri="{FF2B5EF4-FFF2-40B4-BE49-F238E27FC236}">
                <a16:creationId xmlns:a16="http://schemas.microsoft.com/office/drawing/2014/main" id="{E5DCE96D-17EF-BD07-17D2-7900AA3944DF}"/>
              </a:ext>
            </a:extLst>
          </xdr:cNvPr>
          <xdr:cNvSpPr/>
        </xdr:nvSpPr>
        <xdr:spPr>
          <a:xfrm>
            <a:off x="4862513" y="154081163"/>
            <a:ext cx="490537" cy="1709737"/>
          </a:xfrm>
          <a:custGeom>
            <a:avLst/>
            <a:gdLst>
              <a:gd name="connsiteX0" fmla="*/ 490537 w 490537"/>
              <a:gd name="connsiteY0" fmla="*/ 0 h 1709737"/>
              <a:gd name="connsiteX1" fmla="*/ 0 w 490537"/>
              <a:gd name="connsiteY1" fmla="*/ 0 h 1709737"/>
              <a:gd name="connsiteX2" fmla="*/ 485775 w 490537"/>
              <a:gd name="connsiteY2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90537" h="1709737">
                <a:moveTo>
                  <a:pt x="490537" y="0"/>
                </a:moveTo>
                <a:lnTo>
                  <a:pt x="0" y="0"/>
                </a:lnTo>
                <a:lnTo>
                  <a:pt x="485775" y="1709737"/>
                </a:ln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07295B64-6CEB-09FA-9126-E6717A90EAD5}"/>
              </a:ext>
            </a:extLst>
          </xdr:cNvPr>
          <xdr:cNvCxnSpPr/>
        </xdr:nvCxnSpPr>
        <xdr:spPr>
          <a:xfrm rot="5400000" flipH="1">
            <a:off x="5105400" y="153843038"/>
            <a:ext cx="481012" cy="0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554" name="Freeform: Shape 553">
            <a:extLst>
              <a:ext uri="{FF2B5EF4-FFF2-40B4-BE49-F238E27FC236}">
                <a16:creationId xmlns:a16="http://schemas.microsoft.com/office/drawing/2014/main" id="{725AA8B4-CFE2-A293-D142-09F49BD39D44}"/>
              </a:ext>
            </a:extLst>
          </xdr:cNvPr>
          <xdr:cNvSpPr/>
        </xdr:nvSpPr>
        <xdr:spPr>
          <a:xfrm>
            <a:off x="5343525" y="153604913"/>
            <a:ext cx="1947863" cy="918205"/>
          </a:xfrm>
          <a:custGeom>
            <a:avLst/>
            <a:gdLst>
              <a:gd name="connsiteX0" fmla="*/ 0 w 1947863"/>
              <a:gd name="connsiteY0" fmla="*/ 0 h 918205"/>
              <a:gd name="connsiteX1" fmla="*/ 981075 w 1947863"/>
              <a:gd name="connsiteY1" fmla="*/ 909637 h 918205"/>
              <a:gd name="connsiteX2" fmla="*/ 1947863 w 1947863"/>
              <a:gd name="connsiteY2" fmla="*/ 481012 h 918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918205">
                <a:moveTo>
                  <a:pt x="0" y="0"/>
                </a:moveTo>
                <a:cubicBezTo>
                  <a:pt x="328215" y="414734"/>
                  <a:pt x="656431" y="829468"/>
                  <a:pt x="981075" y="909637"/>
                </a:cubicBezTo>
                <a:cubicBezTo>
                  <a:pt x="1305719" y="989806"/>
                  <a:pt x="1947863" y="481012"/>
                  <a:pt x="1947863" y="481012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56" name="Straight Connector 555">
            <a:extLst>
              <a:ext uri="{FF2B5EF4-FFF2-40B4-BE49-F238E27FC236}">
                <a16:creationId xmlns:a16="http://schemas.microsoft.com/office/drawing/2014/main" id="{FCF78C25-8E55-017A-372D-AC2131C5F0B1}"/>
              </a:ext>
            </a:extLst>
          </xdr:cNvPr>
          <xdr:cNvCxnSpPr/>
        </xdr:nvCxnSpPr>
        <xdr:spPr>
          <a:xfrm>
            <a:off x="6400800" y="154114500"/>
            <a:ext cx="0" cy="4143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Connector 584">
            <a:extLst>
              <a:ext uri="{FF2B5EF4-FFF2-40B4-BE49-F238E27FC236}">
                <a16:creationId xmlns:a16="http://schemas.microsoft.com/office/drawing/2014/main" id="{E29637E0-756B-E6FD-44A2-BF4E4140A886}"/>
              </a:ext>
            </a:extLst>
          </xdr:cNvPr>
          <xdr:cNvCxnSpPr/>
        </xdr:nvCxnSpPr>
        <xdr:spPr>
          <a:xfrm>
            <a:off x="6400800" y="153723975"/>
            <a:ext cx="0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CAD61720-1BF4-4A3A-0C16-96428EC3713A}"/>
              </a:ext>
            </a:extLst>
          </xdr:cNvPr>
          <xdr:cNvCxnSpPr/>
        </xdr:nvCxnSpPr>
        <xdr:spPr>
          <a:xfrm>
            <a:off x="6334126" y="153800175"/>
            <a:ext cx="100964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Connector 591">
            <a:extLst>
              <a:ext uri="{FF2B5EF4-FFF2-40B4-BE49-F238E27FC236}">
                <a16:creationId xmlns:a16="http://schemas.microsoft.com/office/drawing/2014/main" id="{A9E29BFA-B0DC-7909-CC79-34C578768480}"/>
              </a:ext>
            </a:extLst>
          </xdr:cNvPr>
          <xdr:cNvCxnSpPr/>
        </xdr:nvCxnSpPr>
        <xdr:spPr>
          <a:xfrm flipH="1">
            <a:off x="6367461" y="1537668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Connector 594">
            <a:extLst>
              <a:ext uri="{FF2B5EF4-FFF2-40B4-BE49-F238E27FC236}">
                <a16:creationId xmlns:a16="http://schemas.microsoft.com/office/drawing/2014/main" id="{B22747ED-37E0-46F2-8C9A-79D2319B3775}"/>
              </a:ext>
            </a:extLst>
          </xdr:cNvPr>
          <xdr:cNvCxnSpPr/>
        </xdr:nvCxnSpPr>
        <xdr:spPr>
          <a:xfrm>
            <a:off x="7286625" y="153723976"/>
            <a:ext cx="0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4F5FE242-F44D-47B4-8343-73B68D7642BB}"/>
              </a:ext>
            </a:extLst>
          </xdr:cNvPr>
          <xdr:cNvCxnSpPr/>
        </xdr:nvCxnSpPr>
        <xdr:spPr>
          <a:xfrm flipH="1">
            <a:off x="7253286" y="1537668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11901</xdr:colOff>
      <xdr:row>1083</xdr:row>
      <xdr:rowOff>11896</xdr:rowOff>
    </xdr:from>
    <xdr:to>
      <xdr:col>23</xdr:col>
      <xdr:colOff>135728</xdr:colOff>
      <xdr:row>1084</xdr:row>
      <xdr:rowOff>142874</xdr:rowOff>
    </xdr:to>
    <xdr:sp macro="" textlink="">
      <xdr:nvSpPr>
        <xdr:cNvPr id="609" name="Rectangle 608">
          <a:extLst>
            <a:ext uri="{FF2B5EF4-FFF2-40B4-BE49-F238E27FC236}">
              <a16:creationId xmlns:a16="http://schemas.microsoft.com/office/drawing/2014/main" id="{774D93BE-6DBB-4796-BAA8-094E1134C019}"/>
            </a:ext>
          </a:extLst>
        </xdr:cNvPr>
        <xdr:cNvSpPr/>
      </xdr:nvSpPr>
      <xdr:spPr>
        <a:xfrm rot="16200000">
          <a:off x="3661163" y="157458959"/>
          <a:ext cx="273853" cy="123827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4762</xdr:colOff>
      <xdr:row>1083</xdr:row>
      <xdr:rowOff>138112</xdr:rowOff>
    </xdr:from>
    <xdr:to>
      <xdr:col>23</xdr:col>
      <xdr:colOff>4762</xdr:colOff>
      <xdr:row>1095</xdr:row>
      <xdr:rowOff>133349</xdr:rowOff>
    </xdr:to>
    <xdr:sp macro="" textlink="">
      <xdr:nvSpPr>
        <xdr:cNvPr id="610" name="Freeform: Shape 609">
          <a:extLst>
            <a:ext uri="{FF2B5EF4-FFF2-40B4-BE49-F238E27FC236}">
              <a16:creationId xmlns:a16="http://schemas.microsoft.com/office/drawing/2014/main" id="{BB0C43DE-DE11-4D5E-9A9F-50DA605EB581}"/>
            </a:ext>
          </a:extLst>
        </xdr:cNvPr>
        <xdr:cNvSpPr/>
      </xdr:nvSpPr>
      <xdr:spPr>
        <a:xfrm>
          <a:off x="1785937" y="157510162"/>
          <a:ext cx="1943100" cy="1709737"/>
        </a:xfrm>
        <a:custGeom>
          <a:avLst/>
          <a:gdLst>
            <a:gd name="connsiteX0" fmla="*/ 0 w 1943100"/>
            <a:gd name="connsiteY0" fmla="*/ 1709737 h 1709737"/>
            <a:gd name="connsiteX1" fmla="*/ 0 w 1943100"/>
            <a:gd name="connsiteY1" fmla="*/ 0 h 1709737"/>
            <a:gd name="connsiteX2" fmla="*/ 1943100 w 1943100"/>
            <a:gd name="connsiteY2" fmla="*/ 0 h 17097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43100" h="1709737">
              <a:moveTo>
                <a:pt x="0" y="1709737"/>
              </a:moveTo>
              <a:lnTo>
                <a:pt x="0" y="0"/>
              </a:lnTo>
              <a:lnTo>
                <a:pt x="1943100" y="0"/>
              </a:ln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tr-T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4763</xdr:colOff>
      <xdr:row>1096</xdr:row>
      <xdr:rowOff>4755</xdr:rowOff>
    </xdr:from>
    <xdr:to>
      <xdr:col>12</xdr:col>
      <xdr:colOff>0</xdr:colOff>
      <xdr:row>1096</xdr:row>
      <xdr:rowOff>128582</xdr:rowOff>
    </xdr:to>
    <xdr:sp macro="" textlink="">
      <xdr:nvSpPr>
        <xdr:cNvPr id="611" name="Rectangle 610">
          <a:extLst>
            <a:ext uri="{FF2B5EF4-FFF2-40B4-BE49-F238E27FC236}">
              <a16:creationId xmlns:a16="http://schemas.microsoft.com/office/drawing/2014/main" id="{8D09CDC5-53DA-40BD-93AF-51F95EC7F870}"/>
            </a:ext>
          </a:extLst>
        </xdr:cNvPr>
        <xdr:cNvSpPr/>
      </xdr:nvSpPr>
      <xdr:spPr>
        <a:xfrm>
          <a:off x="1624013" y="159234180"/>
          <a:ext cx="319087" cy="123827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109539</xdr:colOff>
      <xdr:row>1095</xdr:row>
      <xdr:rowOff>33333</xdr:rowOff>
    </xdr:from>
    <xdr:to>
      <xdr:col>11</xdr:col>
      <xdr:colOff>52388</xdr:colOff>
      <xdr:row>1095</xdr:row>
      <xdr:rowOff>138107</xdr:rowOff>
    </xdr:to>
    <xdr:sp macro="" textlink="">
      <xdr:nvSpPr>
        <xdr:cNvPr id="612" name="Oval 611">
          <a:extLst>
            <a:ext uri="{FF2B5EF4-FFF2-40B4-BE49-F238E27FC236}">
              <a16:creationId xmlns:a16="http://schemas.microsoft.com/office/drawing/2014/main" id="{E637D4BA-F75F-4C92-A32C-C9252FB9EA73}"/>
            </a:ext>
          </a:extLst>
        </xdr:cNvPr>
        <xdr:cNvSpPr/>
      </xdr:nvSpPr>
      <xdr:spPr>
        <a:xfrm>
          <a:off x="1728789" y="159119883"/>
          <a:ext cx="104774" cy="104774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0</xdr:colOff>
      <xdr:row>1095</xdr:row>
      <xdr:rowOff>142869</xdr:rowOff>
    </xdr:from>
    <xdr:to>
      <xdr:col>11</xdr:col>
      <xdr:colOff>157163</xdr:colOff>
      <xdr:row>1095</xdr:row>
      <xdr:rowOff>142869</xdr:rowOff>
    </xdr:to>
    <xdr:cxnSp macro="">
      <xdr:nvCxnSpPr>
        <xdr:cNvPr id="613" name="Straight Connector 612">
          <a:extLst>
            <a:ext uri="{FF2B5EF4-FFF2-40B4-BE49-F238E27FC236}">
              <a16:creationId xmlns:a16="http://schemas.microsoft.com/office/drawing/2014/main" id="{F4A344B8-B42C-4342-8482-08F0F9EDD579}"/>
            </a:ext>
          </a:extLst>
        </xdr:cNvPr>
        <xdr:cNvCxnSpPr/>
      </xdr:nvCxnSpPr>
      <xdr:spPr>
        <a:xfrm>
          <a:off x="1619250" y="159229419"/>
          <a:ext cx="31908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1084</xdr:row>
      <xdr:rowOff>0</xdr:rowOff>
    </xdr:from>
    <xdr:to>
      <xdr:col>8</xdr:col>
      <xdr:colOff>114300</xdr:colOff>
      <xdr:row>1084</xdr:row>
      <xdr:rowOff>0</xdr:rowOff>
    </xdr:to>
    <xdr:cxnSp macro="">
      <xdr:nvCxnSpPr>
        <xdr:cNvPr id="673" name="Straight Connector 672">
          <a:extLst>
            <a:ext uri="{FF2B5EF4-FFF2-40B4-BE49-F238E27FC236}">
              <a16:creationId xmlns:a16="http://schemas.microsoft.com/office/drawing/2014/main" id="{247E9DCD-8F0E-4F12-9F74-C394EEED3BCC}"/>
            </a:ext>
          </a:extLst>
        </xdr:cNvPr>
        <xdr:cNvCxnSpPr/>
      </xdr:nvCxnSpPr>
      <xdr:spPr>
        <a:xfrm>
          <a:off x="1047750" y="157514925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1083</xdr:row>
      <xdr:rowOff>61911</xdr:rowOff>
    </xdr:from>
    <xdr:to>
      <xdr:col>7</xdr:col>
      <xdr:colOff>1</xdr:colOff>
      <xdr:row>1096</xdr:row>
      <xdr:rowOff>85725</xdr:rowOff>
    </xdr:to>
    <xdr:cxnSp macro="">
      <xdr:nvCxnSpPr>
        <xdr:cNvPr id="674" name="Straight Connector 673">
          <a:extLst>
            <a:ext uri="{FF2B5EF4-FFF2-40B4-BE49-F238E27FC236}">
              <a16:creationId xmlns:a16="http://schemas.microsoft.com/office/drawing/2014/main" id="{59DEC391-2099-4EDA-9275-FF64B9E39AB5}"/>
            </a:ext>
          </a:extLst>
        </xdr:cNvPr>
        <xdr:cNvCxnSpPr/>
      </xdr:nvCxnSpPr>
      <xdr:spPr>
        <a:xfrm>
          <a:off x="1133476" y="157433961"/>
          <a:ext cx="0" cy="1881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1083</xdr:row>
      <xdr:rowOff>104774</xdr:rowOff>
    </xdr:from>
    <xdr:to>
      <xdr:col>7</xdr:col>
      <xdr:colOff>38100</xdr:colOff>
      <xdr:row>1084</xdr:row>
      <xdr:rowOff>38099</xdr:rowOff>
    </xdr:to>
    <xdr:cxnSp macro="">
      <xdr:nvCxnSpPr>
        <xdr:cNvPr id="675" name="Straight Connector 674">
          <a:extLst>
            <a:ext uri="{FF2B5EF4-FFF2-40B4-BE49-F238E27FC236}">
              <a16:creationId xmlns:a16="http://schemas.microsoft.com/office/drawing/2014/main" id="{4505EFE6-5F41-4ADF-9FB5-46758E2E215C}"/>
            </a:ext>
          </a:extLst>
        </xdr:cNvPr>
        <xdr:cNvCxnSpPr/>
      </xdr:nvCxnSpPr>
      <xdr:spPr>
        <a:xfrm flipH="1">
          <a:off x="1095375" y="157476824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1096</xdr:row>
      <xdr:rowOff>1</xdr:rowOff>
    </xdr:from>
    <xdr:to>
      <xdr:col>8</xdr:col>
      <xdr:colOff>85725</xdr:colOff>
      <xdr:row>1096</xdr:row>
      <xdr:rowOff>1</xdr:rowOff>
    </xdr:to>
    <xdr:cxnSp macro="">
      <xdr:nvCxnSpPr>
        <xdr:cNvPr id="678" name="Straight Connector 677">
          <a:extLst>
            <a:ext uri="{FF2B5EF4-FFF2-40B4-BE49-F238E27FC236}">
              <a16:creationId xmlns:a16="http://schemas.microsoft.com/office/drawing/2014/main" id="{CDF40266-FB38-4720-B23F-700C06CAEF69}"/>
            </a:ext>
          </a:extLst>
        </xdr:cNvPr>
        <xdr:cNvCxnSpPr/>
      </xdr:nvCxnSpPr>
      <xdr:spPr>
        <a:xfrm>
          <a:off x="1047751" y="159229426"/>
          <a:ext cx="3333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123828</xdr:colOff>
      <xdr:row>1095</xdr:row>
      <xdr:rowOff>104775</xdr:rowOff>
    </xdr:from>
    <xdr:to>
      <xdr:col>7</xdr:col>
      <xdr:colOff>38103</xdr:colOff>
      <xdr:row>1096</xdr:row>
      <xdr:rowOff>38100</xdr:rowOff>
    </xdr:to>
    <xdr:cxnSp macro="">
      <xdr:nvCxnSpPr>
        <xdr:cNvPr id="679" name="Straight Connector 678">
          <a:extLst>
            <a:ext uri="{FF2B5EF4-FFF2-40B4-BE49-F238E27FC236}">
              <a16:creationId xmlns:a16="http://schemas.microsoft.com/office/drawing/2014/main" id="{1072B34C-0D11-4E34-9468-C6A1E3F88E72}"/>
            </a:ext>
          </a:extLst>
        </xdr:cNvPr>
        <xdr:cNvCxnSpPr/>
      </xdr:nvCxnSpPr>
      <xdr:spPr>
        <a:xfrm flipH="1">
          <a:off x="1095378" y="159191325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1100</xdr:row>
      <xdr:rowOff>52388</xdr:rowOff>
    </xdr:from>
    <xdr:to>
      <xdr:col>11</xdr:col>
      <xdr:colOff>0</xdr:colOff>
      <xdr:row>1102</xdr:row>
      <xdr:rowOff>66675</xdr:rowOff>
    </xdr:to>
    <xdr:cxnSp macro="">
      <xdr:nvCxnSpPr>
        <xdr:cNvPr id="707" name="Straight Connector 706">
          <a:extLst>
            <a:ext uri="{FF2B5EF4-FFF2-40B4-BE49-F238E27FC236}">
              <a16:creationId xmlns:a16="http://schemas.microsoft.com/office/drawing/2014/main" id="{4E017683-1AAC-4F2C-97D8-8CE883E282E4}"/>
            </a:ext>
          </a:extLst>
        </xdr:cNvPr>
        <xdr:cNvCxnSpPr/>
      </xdr:nvCxnSpPr>
      <xdr:spPr>
        <a:xfrm>
          <a:off x="1781175" y="159853313"/>
          <a:ext cx="0" cy="3000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80964</xdr:colOff>
      <xdr:row>1102</xdr:row>
      <xdr:rowOff>1</xdr:rowOff>
    </xdr:from>
    <xdr:to>
      <xdr:col>23</xdr:col>
      <xdr:colOff>66675</xdr:colOff>
      <xdr:row>1102</xdr:row>
      <xdr:rowOff>1</xdr:rowOff>
    </xdr:to>
    <xdr:cxnSp macro="">
      <xdr:nvCxnSpPr>
        <xdr:cNvPr id="708" name="Straight Connector 707">
          <a:extLst>
            <a:ext uri="{FF2B5EF4-FFF2-40B4-BE49-F238E27FC236}">
              <a16:creationId xmlns:a16="http://schemas.microsoft.com/office/drawing/2014/main" id="{FCDA681E-D82D-4B8A-AC98-F813B3132302}"/>
            </a:ext>
          </a:extLst>
        </xdr:cNvPr>
        <xdr:cNvCxnSpPr/>
      </xdr:nvCxnSpPr>
      <xdr:spPr>
        <a:xfrm>
          <a:off x="1700214" y="160086676"/>
          <a:ext cx="20907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123827</xdr:colOff>
      <xdr:row>1101</xdr:row>
      <xdr:rowOff>104776</xdr:rowOff>
    </xdr:from>
    <xdr:to>
      <xdr:col>11</xdr:col>
      <xdr:colOff>38102</xdr:colOff>
      <xdr:row>1102</xdr:row>
      <xdr:rowOff>38101</xdr:rowOff>
    </xdr:to>
    <xdr:cxnSp macro="">
      <xdr:nvCxnSpPr>
        <xdr:cNvPr id="718" name="Straight Connector 717">
          <a:extLst>
            <a:ext uri="{FF2B5EF4-FFF2-40B4-BE49-F238E27FC236}">
              <a16:creationId xmlns:a16="http://schemas.microsoft.com/office/drawing/2014/main" id="{F76A772C-FFF0-439D-8B04-03226A067AAA}"/>
            </a:ext>
          </a:extLst>
        </xdr:cNvPr>
        <xdr:cNvCxnSpPr/>
      </xdr:nvCxnSpPr>
      <xdr:spPr>
        <a:xfrm flipH="1">
          <a:off x="1743077" y="160048576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</xdr:colOff>
      <xdr:row>1088</xdr:row>
      <xdr:rowOff>85725</xdr:rowOff>
    </xdr:from>
    <xdr:to>
      <xdr:col>23</xdr:col>
      <xdr:colOff>3</xdr:colOff>
      <xdr:row>1102</xdr:row>
      <xdr:rowOff>66675</xdr:rowOff>
    </xdr:to>
    <xdr:cxnSp macro="">
      <xdr:nvCxnSpPr>
        <xdr:cNvPr id="723" name="Straight Connector 722">
          <a:extLst>
            <a:ext uri="{FF2B5EF4-FFF2-40B4-BE49-F238E27FC236}">
              <a16:creationId xmlns:a16="http://schemas.microsoft.com/office/drawing/2014/main" id="{5EFF3A1B-F786-43AC-B308-DA54B2F6A914}"/>
            </a:ext>
          </a:extLst>
        </xdr:cNvPr>
        <xdr:cNvCxnSpPr/>
      </xdr:nvCxnSpPr>
      <xdr:spPr>
        <a:xfrm>
          <a:off x="3724278" y="158172150"/>
          <a:ext cx="0" cy="1981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123830</xdr:colOff>
      <xdr:row>1101</xdr:row>
      <xdr:rowOff>104776</xdr:rowOff>
    </xdr:from>
    <xdr:to>
      <xdr:col>23</xdr:col>
      <xdr:colOff>38105</xdr:colOff>
      <xdr:row>1102</xdr:row>
      <xdr:rowOff>38101</xdr:rowOff>
    </xdr:to>
    <xdr:cxnSp macro="">
      <xdr:nvCxnSpPr>
        <xdr:cNvPr id="725" name="Straight Connector 724">
          <a:extLst>
            <a:ext uri="{FF2B5EF4-FFF2-40B4-BE49-F238E27FC236}">
              <a16:creationId xmlns:a16="http://schemas.microsoft.com/office/drawing/2014/main" id="{DA226F7C-2E73-4321-9730-EEE3ECD22A84}"/>
            </a:ext>
          </a:extLst>
        </xdr:cNvPr>
        <xdr:cNvCxnSpPr/>
      </xdr:nvCxnSpPr>
      <xdr:spPr>
        <a:xfrm flipH="1">
          <a:off x="3686180" y="160048576"/>
          <a:ext cx="762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1096</xdr:row>
      <xdr:rowOff>123819</xdr:rowOff>
    </xdr:from>
    <xdr:to>
      <xdr:col>11</xdr:col>
      <xdr:colOff>0</xdr:colOff>
      <xdr:row>1099</xdr:row>
      <xdr:rowOff>4763</xdr:rowOff>
    </xdr:to>
    <xdr:cxnSp macro="">
      <xdr:nvCxnSpPr>
        <xdr:cNvPr id="729" name="Straight Arrow Connector 728">
          <a:extLst>
            <a:ext uri="{FF2B5EF4-FFF2-40B4-BE49-F238E27FC236}">
              <a16:creationId xmlns:a16="http://schemas.microsoft.com/office/drawing/2014/main" id="{3CADFE69-6635-4266-A6B4-1550A369B20D}"/>
            </a:ext>
          </a:extLst>
        </xdr:cNvPr>
        <xdr:cNvCxnSpPr/>
      </xdr:nvCxnSpPr>
      <xdr:spPr>
        <a:xfrm flipV="1">
          <a:off x="1781175" y="159353244"/>
          <a:ext cx="0" cy="309569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4758</xdr:colOff>
      <xdr:row>1085</xdr:row>
      <xdr:rowOff>33332</xdr:rowOff>
    </xdr:from>
    <xdr:to>
      <xdr:col>23</xdr:col>
      <xdr:colOff>4758</xdr:colOff>
      <xdr:row>1087</xdr:row>
      <xdr:rowOff>0</xdr:rowOff>
    </xdr:to>
    <xdr:cxnSp macro="">
      <xdr:nvCxnSpPr>
        <xdr:cNvPr id="730" name="Straight Arrow Connector 729">
          <a:extLst>
            <a:ext uri="{FF2B5EF4-FFF2-40B4-BE49-F238E27FC236}">
              <a16:creationId xmlns:a16="http://schemas.microsoft.com/office/drawing/2014/main" id="{55CD8987-8148-413B-A49E-D0A8748B3390}"/>
            </a:ext>
          </a:extLst>
        </xdr:cNvPr>
        <xdr:cNvCxnSpPr/>
      </xdr:nvCxnSpPr>
      <xdr:spPr>
        <a:xfrm flipV="1">
          <a:off x="3729033" y="157691132"/>
          <a:ext cx="0" cy="252418"/>
        </a:xfrm>
        <a:prstGeom prst="straightConnector1">
          <a:avLst/>
        </a:prstGeom>
        <a:ln w="15875"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1095</xdr:row>
      <xdr:rowOff>138107</xdr:rowOff>
    </xdr:from>
    <xdr:to>
      <xdr:col>14</xdr:col>
      <xdr:colOff>4762</xdr:colOff>
      <xdr:row>1095</xdr:row>
      <xdr:rowOff>138107</xdr:rowOff>
    </xdr:to>
    <xdr:cxnSp macro="">
      <xdr:nvCxnSpPr>
        <xdr:cNvPr id="761" name="Straight Arrow Connector 760">
          <a:extLst>
            <a:ext uri="{FF2B5EF4-FFF2-40B4-BE49-F238E27FC236}">
              <a16:creationId xmlns:a16="http://schemas.microsoft.com/office/drawing/2014/main" id="{F5AC6799-816E-43A4-8B58-5FE00E33F112}"/>
            </a:ext>
          </a:extLst>
        </xdr:cNvPr>
        <xdr:cNvCxnSpPr/>
      </xdr:nvCxnSpPr>
      <xdr:spPr>
        <a:xfrm>
          <a:off x="1971675" y="159224657"/>
          <a:ext cx="300037" cy="0"/>
        </a:xfrm>
        <a:prstGeom prst="straightConnector1">
          <a:avLst/>
        </a:prstGeom>
        <a:ln w="15875"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138107</xdr:colOff>
      <xdr:row>1083</xdr:row>
      <xdr:rowOff>138112</xdr:rowOff>
    </xdr:from>
    <xdr:to>
      <xdr:col>25</xdr:col>
      <xdr:colOff>123820</xdr:colOff>
      <xdr:row>1083</xdr:row>
      <xdr:rowOff>138112</xdr:rowOff>
    </xdr:to>
    <xdr:cxnSp macro="">
      <xdr:nvCxnSpPr>
        <xdr:cNvPr id="762" name="Straight Arrow Connector 761">
          <a:extLst>
            <a:ext uri="{FF2B5EF4-FFF2-40B4-BE49-F238E27FC236}">
              <a16:creationId xmlns:a16="http://schemas.microsoft.com/office/drawing/2014/main" id="{DF1EB1AE-09D4-4C8B-8D73-F0986EA24275}"/>
            </a:ext>
          </a:extLst>
        </xdr:cNvPr>
        <xdr:cNvCxnSpPr/>
      </xdr:nvCxnSpPr>
      <xdr:spPr>
        <a:xfrm flipH="1">
          <a:off x="3862382" y="157510162"/>
          <a:ext cx="309563" cy="0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52387</xdr:colOff>
      <xdr:row>1083</xdr:row>
      <xdr:rowOff>85722</xdr:rowOff>
    </xdr:from>
    <xdr:to>
      <xdr:col>22</xdr:col>
      <xdr:colOff>157161</xdr:colOff>
      <xdr:row>1084</xdr:row>
      <xdr:rowOff>47621</xdr:rowOff>
    </xdr:to>
    <xdr:sp macro="" textlink="">
      <xdr:nvSpPr>
        <xdr:cNvPr id="777" name="Oval 776">
          <a:extLst>
            <a:ext uri="{FF2B5EF4-FFF2-40B4-BE49-F238E27FC236}">
              <a16:creationId xmlns:a16="http://schemas.microsoft.com/office/drawing/2014/main" id="{6AC392F6-7C66-4F6D-91DA-B40925171C5A}"/>
            </a:ext>
          </a:extLst>
        </xdr:cNvPr>
        <xdr:cNvSpPr/>
      </xdr:nvSpPr>
      <xdr:spPr>
        <a:xfrm>
          <a:off x="3614737" y="157457772"/>
          <a:ext cx="104774" cy="104774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23</xdr:col>
      <xdr:colOff>4759</xdr:colOff>
      <xdr:row>1083</xdr:row>
      <xdr:rowOff>1</xdr:rowOff>
    </xdr:from>
    <xdr:to>
      <xdr:col>23</xdr:col>
      <xdr:colOff>4759</xdr:colOff>
      <xdr:row>1085</xdr:row>
      <xdr:rowOff>0</xdr:rowOff>
    </xdr:to>
    <xdr:cxnSp macro="">
      <xdr:nvCxnSpPr>
        <xdr:cNvPr id="778" name="Straight Connector 777">
          <a:extLst>
            <a:ext uri="{FF2B5EF4-FFF2-40B4-BE49-F238E27FC236}">
              <a16:creationId xmlns:a16="http://schemas.microsoft.com/office/drawing/2014/main" id="{5083B99D-E48D-4E11-AA0B-EF1A5B957210}"/>
            </a:ext>
          </a:extLst>
        </xdr:cNvPr>
        <xdr:cNvCxnSpPr/>
      </xdr:nvCxnSpPr>
      <xdr:spPr>
        <a:xfrm>
          <a:off x="3729034" y="157372051"/>
          <a:ext cx="0" cy="2857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42882</xdr:colOff>
      <xdr:row>1083</xdr:row>
      <xdr:rowOff>138109</xdr:rowOff>
    </xdr:from>
    <xdr:to>
      <xdr:col>10</xdr:col>
      <xdr:colOff>42882</xdr:colOff>
      <xdr:row>1095</xdr:row>
      <xdr:rowOff>142871</xdr:rowOff>
    </xdr:to>
    <xdr:cxnSp macro="">
      <xdr:nvCxnSpPr>
        <xdr:cNvPr id="847" name="Straight Connector 846">
          <a:extLst>
            <a:ext uri="{FF2B5EF4-FFF2-40B4-BE49-F238E27FC236}">
              <a16:creationId xmlns:a16="http://schemas.microsoft.com/office/drawing/2014/main" id="{3A0BF7B3-87D8-48FF-B530-82C9D5100B97}"/>
            </a:ext>
          </a:extLst>
        </xdr:cNvPr>
        <xdr:cNvCxnSpPr/>
      </xdr:nvCxnSpPr>
      <xdr:spPr>
        <a:xfrm>
          <a:off x="1662132" y="157510159"/>
          <a:ext cx="0" cy="17192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4781</xdr:colOff>
      <xdr:row>1083</xdr:row>
      <xdr:rowOff>142872</xdr:rowOff>
    </xdr:from>
    <xdr:to>
      <xdr:col>10</xdr:col>
      <xdr:colOff>42882</xdr:colOff>
      <xdr:row>1083</xdr:row>
      <xdr:rowOff>142872</xdr:rowOff>
    </xdr:to>
    <xdr:cxnSp macro="">
      <xdr:nvCxnSpPr>
        <xdr:cNvPr id="862" name="Straight Arrow Connector 861">
          <a:extLst>
            <a:ext uri="{FF2B5EF4-FFF2-40B4-BE49-F238E27FC236}">
              <a16:creationId xmlns:a16="http://schemas.microsoft.com/office/drawing/2014/main" id="{DCDD2F68-13AA-4E65-B979-E95F788B64DF}"/>
            </a:ext>
          </a:extLst>
        </xdr:cNvPr>
        <xdr:cNvCxnSpPr/>
      </xdr:nvCxnSpPr>
      <xdr:spPr>
        <a:xfrm>
          <a:off x="1462106" y="157514922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</xdr:colOff>
      <xdr:row>1084</xdr:row>
      <xdr:rowOff>138109</xdr:rowOff>
    </xdr:from>
    <xdr:to>
      <xdr:col>10</xdr:col>
      <xdr:colOff>38119</xdr:colOff>
      <xdr:row>1084</xdr:row>
      <xdr:rowOff>138109</xdr:rowOff>
    </xdr:to>
    <xdr:cxnSp macro="">
      <xdr:nvCxnSpPr>
        <xdr:cNvPr id="879" name="Straight Arrow Connector 878">
          <a:extLst>
            <a:ext uri="{FF2B5EF4-FFF2-40B4-BE49-F238E27FC236}">
              <a16:creationId xmlns:a16="http://schemas.microsoft.com/office/drawing/2014/main" id="{57BF387A-0891-434C-9441-426592FAC637}"/>
            </a:ext>
          </a:extLst>
        </xdr:cNvPr>
        <xdr:cNvCxnSpPr/>
      </xdr:nvCxnSpPr>
      <xdr:spPr>
        <a:xfrm>
          <a:off x="1457343" y="157653034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</xdr:colOff>
      <xdr:row>1085</xdr:row>
      <xdr:rowOff>138112</xdr:rowOff>
    </xdr:from>
    <xdr:to>
      <xdr:col>10</xdr:col>
      <xdr:colOff>38113</xdr:colOff>
      <xdr:row>1085</xdr:row>
      <xdr:rowOff>138112</xdr:rowOff>
    </xdr:to>
    <xdr:cxnSp macro="">
      <xdr:nvCxnSpPr>
        <xdr:cNvPr id="880" name="Straight Arrow Connector 879">
          <a:extLst>
            <a:ext uri="{FF2B5EF4-FFF2-40B4-BE49-F238E27FC236}">
              <a16:creationId xmlns:a16="http://schemas.microsoft.com/office/drawing/2014/main" id="{30173C5E-382F-4A33-BBE5-3B0F480CD4F3}"/>
            </a:ext>
          </a:extLst>
        </xdr:cNvPr>
        <xdr:cNvCxnSpPr/>
      </xdr:nvCxnSpPr>
      <xdr:spPr>
        <a:xfrm>
          <a:off x="1457337" y="157795912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157174</xdr:colOff>
      <xdr:row>1086</xdr:row>
      <xdr:rowOff>138112</xdr:rowOff>
    </xdr:from>
    <xdr:to>
      <xdr:col>10</xdr:col>
      <xdr:colOff>33350</xdr:colOff>
      <xdr:row>1086</xdr:row>
      <xdr:rowOff>138112</xdr:rowOff>
    </xdr:to>
    <xdr:cxnSp macro="">
      <xdr:nvCxnSpPr>
        <xdr:cNvPr id="899" name="Straight Arrow Connector 898">
          <a:extLst>
            <a:ext uri="{FF2B5EF4-FFF2-40B4-BE49-F238E27FC236}">
              <a16:creationId xmlns:a16="http://schemas.microsoft.com/office/drawing/2014/main" id="{2DA9BADC-FF73-4F45-B807-42BC3D8EA412}"/>
            </a:ext>
          </a:extLst>
        </xdr:cNvPr>
        <xdr:cNvCxnSpPr/>
      </xdr:nvCxnSpPr>
      <xdr:spPr>
        <a:xfrm>
          <a:off x="1452574" y="157938787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4776</xdr:colOff>
      <xdr:row>1087</xdr:row>
      <xdr:rowOff>138116</xdr:rowOff>
    </xdr:from>
    <xdr:to>
      <xdr:col>10</xdr:col>
      <xdr:colOff>42877</xdr:colOff>
      <xdr:row>1087</xdr:row>
      <xdr:rowOff>138116</xdr:rowOff>
    </xdr:to>
    <xdr:cxnSp macro="">
      <xdr:nvCxnSpPr>
        <xdr:cNvPr id="900" name="Straight Arrow Connector 899">
          <a:extLst>
            <a:ext uri="{FF2B5EF4-FFF2-40B4-BE49-F238E27FC236}">
              <a16:creationId xmlns:a16="http://schemas.microsoft.com/office/drawing/2014/main" id="{D42E991C-FBBA-4120-A1BD-254AA9AEC68F}"/>
            </a:ext>
          </a:extLst>
        </xdr:cNvPr>
        <xdr:cNvCxnSpPr/>
      </xdr:nvCxnSpPr>
      <xdr:spPr>
        <a:xfrm>
          <a:off x="1462101" y="158081666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</xdr:colOff>
      <xdr:row>1088</xdr:row>
      <xdr:rowOff>138116</xdr:rowOff>
    </xdr:from>
    <xdr:to>
      <xdr:col>10</xdr:col>
      <xdr:colOff>38114</xdr:colOff>
      <xdr:row>1088</xdr:row>
      <xdr:rowOff>138116</xdr:rowOff>
    </xdr:to>
    <xdr:cxnSp macro="">
      <xdr:nvCxnSpPr>
        <xdr:cNvPr id="914" name="Straight Arrow Connector 913">
          <a:extLst>
            <a:ext uri="{FF2B5EF4-FFF2-40B4-BE49-F238E27FC236}">
              <a16:creationId xmlns:a16="http://schemas.microsoft.com/office/drawing/2014/main" id="{0F346085-0D25-4085-95A1-C727D16A6AAD}"/>
            </a:ext>
          </a:extLst>
        </xdr:cNvPr>
        <xdr:cNvCxnSpPr/>
      </xdr:nvCxnSpPr>
      <xdr:spPr>
        <a:xfrm>
          <a:off x="1457338" y="158224541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</xdr:colOff>
      <xdr:row>1089</xdr:row>
      <xdr:rowOff>138119</xdr:rowOff>
    </xdr:from>
    <xdr:to>
      <xdr:col>10</xdr:col>
      <xdr:colOff>38108</xdr:colOff>
      <xdr:row>1089</xdr:row>
      <xdr:rowOff>138119</xdr:rowOff>
    </xdr:to>
    <xdr:cxnSp macro="">
      <xdr:nvCxnSpPr>
        <xdr:cNvPr id="915" name="Straight Arrow Connector 914">
          <a:extLst>
            <a:ext uri="{FF2B5EF4-FFF2-40B4-BE49-F238E27FC236}">
              <a16:creationId xmlns:a16="http://schemas.microsoft.com/office/drawing/2014/main" id="{A823ABA0-5C20-4ECD-A9F0-D63D8C191D69}"/>
            </a:ext>
          </a:extLst>
        </xdr:cNvPr>
        <xdr:cNvCxnSpPr/>
      </xdr:nvCxnSpPr>
      <xdr:spPr>
        <a:xfrm>
          <a:off x="1457332" y="158367419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157169</xdr:colOff>
      <xdr:row>1090</xdr:row>
      <xdr:rowOff>138119</xdr:rowOff>
    </xdr:from>
    <xdr:to>
      <xdr:col>10</xdr:col>
      <xdr:colOff>33345</xdr:colOff>
      <xdr:row>1090</xdr:row>
      <xdr:rowOff>138119</xdr:rowOff>
    </xdr:to>
    <xdr:cxnSp macro="">
      <xdr:nvCxnSpPr>
        <xdr:cNvPr id="934" name="Straight Arrow Connector 933">
          <a:extLst>
            <a:ext uri="{FF2B5EF4-FFF2-40B4-BE49-F238E27FC236}">
              <a16:creationId xmlns:a16="http://schemas.microsoft.com/office/drawing/2014/main" id="{1B7B716C-03E1-4312-A8CC-DAD5D9255414}"/>
            </a:ext>
          </a:extLst>
        </xdr:cNvPr>
        <xdr:cNvCxnSpPr/>
      </xdr:nvCxnSpPr>
      <xdr:spPr>
        <a:xfrm>
          <a:off x="1452569" y="158510294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4768</xdr:colOff>
      <xdr:row>1091</xdr:row>
      <xdr:rowOff>138126</xdr:rowOff>
    </xdr:from>
    <xdr:to>
      <xdr:col>10</xdr:col>
      <xdr:colOff>42869</xdr:colOff>
      <xdr:row>1091</xdr:row>
      <xdr:rowOff>138126</xdr:rowOff>
    </xdr:to>
    <xdr:cxnSp macro="">
      <xdr:nvCxnSpPr>
        <xdr:cNvPr id="935" name="Straight Arrow Connector 934">
          <a:extLst>
            <a:ext uri="{FF2B5EF4-FFF2-40B4-BE49-F238E27FC236}">
              <a16:creationId xmlns:a16="http://schemas.microsoft.com/office/drawing/2014/main" id="{C9D8554D-7AD7-41FA-8B41-00BAD554D4BC}"/>
            </a:ext>
          </a:extLst>
        </xdr:cNvPr>
        <xdr:cNvCxnSpPr/>
      </xdr:nvCxnSpPr>
      <xdr:spPr>
        <a:xfrm>
          <a:off x="1462093" y="158653176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</xdr:colOff>
      <xdr:row>1092</xdr:row>
      <xdr:rowOff>138126</xdr:rowOff>
    </xdr:from>
    <xdr:to>
      <xdr:col>10</xdr:col>
      <xdr:colOff>38106</xdr:colOff>
      <xdr:row>1092</xdr:row>
      <xdr:rowOff>138126</xdr:rowOff>
    </xdr:to>
    <xdr:cxnSp macro="">
      <xdr:nvCxnSpPr>
        <xdr:cNvPr id="949" name="Straight Arrow Connector 948">
          <a:extLst>
            <a:ext uri="{FF2B5EF4-FFF2-40B4-BE49-F238E27FC236}">
              <a16:creationId xmlns:a16="http://schemas.microsoft.com/office/drawing/2014/main" id="{357E6670-C0B8-4685-979C-4A2C2A84AC8B}"/>
            </a:ext>
          </a:extLst>
        </xdr:cNvPr>
        <xdr:cNvCxnSpPr/>
      </xdr:nvCxnSpPr>
      <xdr:spPr>
        <a:xfrm>
          <a:off x="1457330" y="158796051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161924</xdr:colOff>
      <xdr:row>1093</xdr:row>
      <xdr:rowOff>138129</xdr:rowOff>
    </xdr:from>
    <xdr:to>
      <xdr:col>10</xdr:col>
      <xdr:colOff>38100</xdr:colOff>
      <xdr:row>1093</xdr:row>
      <xdr:rowOff>138129</xdr:rowOff>
    </xdr:to>
    <xdr:cxnSp macro="">
      <xdr:nvCxnSpPr>
        <xdr:cNvPr id="951" name="Straight Arrow Connector 950">
          <a:extLst>
            <a:ext uri="{FF2B5EF4-FFF2-40B4-BE49-F238E27FC236}">
              <a16:creationId xmlns:a16="http://schemas.microsoft.com/office/drawing/2014/main" id="{66BB090A-F53D-45CF-98A4-53601D37D57C}"/>
            </a:ext>
          </a:extLst>
        </xdr:cNvPr>
        <xdr:cNvCxnSpPr/>
      </xdr:nvCxnSpPr>
      <xdr:spPr>
        <a:xfrm>
          <a:off x="1457324" y="158938929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157161</xdr:colOff>
      <xdr:row>1094</xdr:row>
      <xdr:rowOff>138129</xdr:rowOff>
    </xdr:from>
    <xdr:to>
      <xdr:col>10</xdr:col>
      <xdr:colOff>33337</xdr:colOff>
      <xdr:row>1094</xdr:row>
      <xdr:rowOff>138129</xdr:rowOff>
    </xdr:to>
    <xdr:cxnSp macro="">
      <xdr:nvCxnSpPr>
        <xdr:cNvPr id="953" name="Straight Arrow Connector 952">
          <a:extLst>
            <a:ext uri="{FF2B5EF4-FFF2-40B4-BE49-F238E27FC236}">
              <a16:creationId xmlns:a16="http://schemas.microsoft.com/office/drawing/2014/main" id="{D1E5CF24-B52E-410B-B190-16D34851F354}"/>
            </a:ext>
          </a:extLst>
        </xdr:cNvPr>
        <xdr:cNvCxnSpPr/>
      </xdr:nvCxnSpPr>
      <xdr:spPr>
        <a:xfrm>
          <a:off x="1452561" y="159081804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</xdr:colOff>
      <xdr:row>1083</xdr:row>
      <xdr:rowOff>142872</xdr:rowOff>
    </xdr:from>
    <xdr:to>
      <xdr:col>9</xdr:col>
      <xdr:colOff>19</xdr:colOff>
      <xdr:row>1095</xdr:row>
      <xdr:rowOff>138109</xdr:rowOff>
    </xdr:to>
    <xdr:cxnSp macro="">
      <xdr:nvCxnSpPr>
        <xdr:cNvPr id="955" name="Straight Connector 954">
          <a:extLst>
            <a:ext uri="{FF2B5EF4-FFF2-40B4-BE49-F238E27FC236}">
              <a16:creationId xmlns:a16="http://schemas.microsoft.com/office/drawing/2014/main" id="{221ABC19-DAC3-483C-A4B9-1D8F720F3CAB}"/>
            </a:ext>
          </a:extLst>
        </xdr:cNvPr>
        <xdr:cNvCxnSpPr/>
      </xdr:nvCxnSpPr>
      <xdr:spPr>
        <a:xfrm>
          <a:off x="1457344" y="157514922"/>
          <a:ext cx="0" cy="17097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161923</xdr:colOff>
      <xdr:row>1096</xdr:row>
      <xdr:rowOff>19</xdr:rowOff>
    </xdr:from>
    <xdr:to>
      <xdr:col>10</xdr:col>
      <xdr:colOff>38099</xdr:colOff>
      <xdr:row>1096</xdr:row>
      <xdr:rowOff>19</xdr:rowOff>
    </xdr:to>
    <xdr:cxnSp macro="">
      <xdr:nvCxnSpPr>
        <xdr:cNvPr id="956" name="Straight Arrow Connector 955">
          <a:extLst>
            <a:ext uri="{FF2B5EF4-FFF2-40B4-BE49-F238E27FC236}">
              <a16:creationId xmlns:a16="http://schemas.microsoft.com/office/drawing/2014/main" id="{FC345F1E-3E2F-41CF-9233-9E8146B03D32}"/>
            </a:ext>
          </a:extLst>
        </xdr:cNvPr>
        <xdr:cNvCxnSpPr/>
      </xdr:nvCxnSpPr>
      <xdr:spPr>
        <a:xfrm>
          <a:off x="1457323" y="159229444"/>
          <a:ext cx="20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157163</xdr:colOff>
      <xdr:row>1080</xdr:row>
      <xdr:rowOff>119063</xdr:rowOff>
    </xdr:from>
    <xdr:to>
      <xdr:col>44</xdr:col>
      <xdr:colOff>161924</xdr:colOff>
      <xdr:row>1096</xdr:row>
      <xdr:rowOff>61913</xdr:rowOff>
    </xdr:to>
    <xdr:grpSp>
      <xdr:nvGrpSpPr>
        <xdr:cNvPr id="1563" name="Group 1562">
          <a:extLst>
            <a:ext uri="{FF2B5EF4-FFF2-40B4-BE49-F238E27FC236}">
              <a16:creationId xmlns:a16="http://schemas.microsoft.com/office/drawing/2014/main" id="{AC6E9B38-DA7A-4C0F-EA21-7AF95DF16C9E}"/>
            </a:ext>
          </a:extLst>
        </xdr:cNvPr>
        <xdr:cNvGrpSpPr/>
      </xdr:nvGrpSpPr>
      <xdr:grpSpPr>
        <a:xfrm>
          <a:off x="4852988" y="157062488"/>
          <a:ext cx="2433636" cy="2228850"/>
          <a:chOff x="4852988" y="157062488"/>
          <a:chExt cx="2433636" cy="2228850"/>
        </a:xfrm>
      </xdr:grpSpPr>
      <xdr:sp macro="" textlink="">
        <xdr:nvSpPr>
          <xdr:cNvPr id="812" name="Freeform: Shape 811">
            <a:extLst>
              <a:ext uri="{FF2B5EF4-FFF2-40B4-BE49-F238E27FC236}">
                <a16:creationId xmlns:a16="http://schemas.microsoft.com/office/drawing/2014/main" id="{034EFF6D-2148-4EB0-BE86-B6DCEF317DA0}"/>
              </a:ext>
            </a:extLst>
          </xdr:cNvPr>
          <xdr:cNvSpPr/>
        </xdr:nvSpPr>
        <xdr:spPr>
          <a:xfrm>
            <a:off x="5343524" y="157519687"/>
            <a:ext cx="1943100" cy="1709737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7" name="Freeform: Shape 956">
            <a:extLst>
              <a:ext uri="{FF2B5EF4-FFF2-40B4-BE49-F238E27FC236}">
                <a16:creationId xmlns:a16="http://schemas.microsoft.com/office/drawing/2014/main" id="{2543EBD6-90D0-C97B-F3D2-17114EA04E29}"/>
              </a:ext>
            </a:extLst>
          </xdr:cNvPr>
          <xdr:cNvSpPr/>
        </xdr:nvSpPr>
        <xdr:spPr>
          <a:xfrm>
            <a:off x="5343526" y="157062488"/>
            <a:ext cx="1928812" cy="461962"/>
          </a:xfrm>
          <a:custGeom>
            <a:avLst/>
            <a:gdLst>
              <a:gd name="connsiteX0" fmla="*/ 0 w 1928812"/>
              <a:gd name="connsiteY0" fmla="*/ 461962 h 461962"/>
              <a:gd name="connsiteX1" fmla="*/ 0 w 1928812"/>
              <a:gd name="connsiteY1" fmla="*/ 0 h 461962"/>
              <a:gd name="connsiteX2" fmla="*/ 1928812 w 1928812"/>
              <a:gd name="connsiteY2" fmla="*/ 457200 h 4619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28812" h="461962">
                <a:moveTo>
                  <a:pt x="0" y="461962"/>
                </a:moveTo>
                <a:lnTo>
                  <a:pt x="0" y="0"/>
                </a:lnTo>
                <a:lnTo>
                  <a:pt x="1928812" y="457200"/>
                </a:ln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9" name="Freeform: Shape 958">
            <a:extLst>
              <a:ext uri="{FF2B5EF4-FFF2-40B4-BE49-F238E27FC236}">
                <a16:creationId xmlns:a16="http://schemas.microsoft.com/office/drawing/2014/main" id="{20963BF0-BB51-8602-8627-830E1036D308}"/>
              </a:ext>
            </a:extLst>
          </xdr:cNvPr>
          <xdr:cNvSpPr/>
        </xdr:nvSpPr>
        <xdr:spPr>
          <a:xfrm>
            <a:off x="4852988" y="157510163"/>
            <a:ext cx="1244892" cy="1719262"/>
          </a:xfrm>
          <a:custGeom>
            <a:avLst/>
            <a:gdLst>
              <a:gd name="connsiteX0" fmla="*/ 0 w 1244892"/>
              <a:gd name="connsiteY0" fmla="*/ 0 h 1719262"/>
              <a:gd name="connsiteX1" fmla="*/ 1238250 w 1244892"/>
              <a:gd name="connsiteY1" fmla="*/ 890587 h 1719262"/>
              <a:gd name="connsiteX2" fmla="*/ 495300 w 1244892"/>
              <a:gd name="connsiteY2" fmla="*/ 1719262 h 1719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44892" h="1719262">
                <a:moveTo>
                  <a:pt x="0" y="0"/>
                </a:moveTo>
                <a:cubicBezTo>
                  <a:pt x="577850" y="302021"/>
                  <a:pt x="1155700" y="604043"/>
                  <a:pt x="1238250" y="890587"/>
                </a:cubicBezTo>
                <a:cubicBezTo>
                  <a:pt x="1320800" y="1177131"/>
                  <a:pt x="608806" y="1581943"/>
                  <a:pt x="495300" y="1719262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64" name="Straight Connector 963">
            <a:extLst>
              <a:ext uri="{FF2B5EF4-FFF2-40B4-BE49-F238E27FC236}">
                <a16:creationId xmlns:a16="http://schemas.microsoft.com/office/drawing/2014/main" id="{3128BAF6-D418-F7A3-9135-ACCC889C2911}"/>
              </a:ext>
            </a:extLst>
          </xdr:cNvPr>
          <xdr:cNvCxnSpPr/>
        </xdr:nvCxnSpPr>
        <xdr:spPr>
          <a:xfrm>
            <a:off x="4852988" y="157514926"/>
            <a:ext cx="481012" cy="0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2C222336-0177-4323-8DAC-4075E90F07CC}"/>
              </a:ext>
            </a:extLst>
          </xdr:cNvPr>
          <xdr:cNvCxnSpPr/>
        </xdr:nvCxnSpPr>
        <xdr:spPr>
          <a:xfrm>
            <a:off x="5338763" y="158443613"/>
            <a:ext cx="752474" cy="0"/>
          </a:xfrm>
          <a:prstGeom prst="line">
            <a:avLst/>
          </a:prstGeom>
          <a:noFill/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014" name="Straight Connector 1013">
            <a:extLst>
              <a:ext uri="{FF2B5EF4-FFF2-40B4-BE49-F238E27FC236}">
                <a16:creationId xmlns:a16="http://schemas.microsoft.com/office/drawing/2014/main" id="{400FC113-7583-C970-71A8-0F74849D388D}"/>
              </a:ext>
            </a:extLst>
          </xdr:cNvPr>
          <xdr:cNvCxnSpPr/>
        </xdr:nvCxnSpPr>
        <xdr:spPr>
          <a:xfrm>
            <a:off x="4957763" y="158438851"/>
            <a:ext cx="3429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Connector 1022">
            <a:extLst>
              <a:ext uri="{FF2B5EF4-FFF2-40B4-BE49-F238E27FC236}">
                <a16:creationId xmlns:a16="http://schemas.microsoft.com/office/drawing/2014/main" id="{1625C095-20CA-1E5E-56FE-DBEC71D2835C}"/>
              </a:ext>
            </a:extLst>
          </xdr:cNvPr>
          <xdr:cNvCxnSpPr/>
        </xdr:nvCxnSpPr>
        <xdr:spPr>
          <a:xfrm>
            <a:off x="5019676" y="158372174"/>
            <a:ext cx="0" cy="9191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Connector 1045">
            <a:extLst>
              <a:ext uri="{FF2B5EF4-FFF2-40B4-BE49-F238E27FC236}">
                <a16:creationId xmlns:a16="http://schemas.microsoft.com/office/drawing/2014/main" id="{CBEC5B73-3C62-8876-E20B-44F05A845814}"/>
              </a:ext>
            </a:extLst>
          </xdr:cNvPr>
          <xdr:cNvCxnSpPr/>
        </xdr:nvCxnSpPr>
        <xdr:spPr>
          <a:xfrm flipH="1">
            <a:off x="4986337" y="1584102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Straight Connector 1063">
            <a:extLst>
              <a:ext uri="{FF2B5EF4-FFF2-40B4-BE49-F238E27FC236}">
                <a16:creationId xmlns:a16="http://schemas.microsoft.com/office/drawing/2014/main" id="{4F414E39-959A-4368-86B7-DEFCFFD3F588}"/>
              </a:ext>
            </a:extLst>
          </xdr:cNvPr>
          <xdr:cNvCxnSpPr/>
        </xdr:nvCxnSpPr>
        <xdr:spPr>
          <a:xfrm>
            <a:off x="4957765" y="159229426"/>
            <a:ext cx="3429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05FFF87D-0E6A-41C2-9524-D7C310F4F5C7}"/>
              </a:ext>
            </a:extLst>
          </xdr:cNvPr>
          <xdr:cNvCxnSpPr/>
        </xdr:nvCxnSpPr>
        <xdr:spPr>
          <a:xfrm flipH="1">
            <a:off x="4986339" y="159200850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52388</xdr:colOff>
      <xdr:row>1107</xdr:row>
      <xdr:rowOff>61913</xdr:rowOff>
    </xdr:from>
    <xdr:to>
      <xdr:col>45</xdr:col>
      <xdr:colOff>4755</xdr:colOff>
      <xdr:row>1123</xdr:row>
      <xdr:rowOff>4763</xdr:rowOff>
    </xdr:to>
    <xdr:grpSp>
      <xdr:nvGrpSpPr>
        <xdr:cNvPr id="1559" name="Group 1558">
          <a:extLst>
            <a:ext uri="{FF2B5EF4-FFF2-40B4-BE49-F238E27FC236}">
              <a16:creationId xmlns:a16="http://schemas.microsoft.com/office/drawing/2014/main" id="{56E3AE59-7A8F-A4F3-D417-DB2821DC7C43}"/>
            </a:ext>
          </a:extLst>
        </xdr:cNvPr>
        <xdr:cNvGrpSpPr/>
      </xdr:nvGrpSpPr>
      <xdr:grpSpPr>
        <a:xfrm>
          <a:off x="5072063" y="161301113"/>
          <a:ext cx="2219317" cy="2228850"/>
          <a:chOff x="5072063" y="161301113"/>
          <a:chExt cx="2219317" cy="2228850"/>
        </a:xfrm>
      </xdr:grpSpPr>
      <xdr:sp macro="" textlink="">
        <xdr:nvSpPr>
          <xdr:cNvPr id="1165" name="Freeform: Shape 1164">
            <a:extLst>
              <a:ext uri="{FF2B5EF4-FFF2-40B4-BE49-F238E27FC236}">
                <a16:creationId xmlns:a16="http://schemas.microsoft.com/office/drawing/2014/main" id="{2789D7E8-5FEE-4614-B647-9B0D07519664}"/>
              </a:ext>
            </a:extLst>
          </xdr:cNvPr>
          <xdr:cNvSpPr/>
        </xdr:nvSpPr>
        <xdr:spPr>
          <a:xfrm>
            <a:off x="5348280" y="161810700"/>
            <a:ext cx="1943100" cy="1719263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90" name="Straight Connector 1189">
            <a:extLst>
              <a:ext uri="{FF2B5EF4-FFF2-40B4-BE49-F238E27FC236}">
                <a16:creationId xmlns:a16="http://schemas.microsoft.com/office/drawing/2014/main" id="{444CC38D-C2F2-8464-4F94-C43C88471A93}"/>
              </a:ext>
            </a:extLst>
          </xdr:cNvPr>
          <xdr:cNvCxnSpPr/>
        </xdr:nvCxnSpPr>
        <xdr:spPr>
          <a:xfrm flipV="1">
            <a:off x="5343525" y="161515425"/>
            <a:ext cx="0" cy="295276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1195" name="Freeform: Shape 1194">
            <a:extLst>
              <a:ext uri="{FF2B5EF4-FFF2-40B4-BE49-F238E27FC236}">
                <a16:creationId xmlns:a16="http://schemas.microsoft.com/office/drawing/2014/main" id="{A0657743-AFA5-777B-53C8-06E50AFE81AE}"/>
              </a:ext>
            </a:extLst>
          </xdr:cNvPr>
          <xdr:cNvSpPr/>
        </xdr:nvSpPr>
        <xdr:spPr>
          <a:xfrm>
            <a:off x="5072063" y="161805938"/>
            <a:ext cx="752475" cy="1719262"/>
          </a:xfrm>
          <a:custGeom>
            <a:avLst/>
            <a:gdLst>
              <a:gd name="connsiteX0" fmla="*/ 271462 w 752475"/>
              <a:gd name="connsiteY0" fmla="*/ 0 h 1709737"/>
              <a:gd name="connsiteX1" fmla="*/ 0 w 752475"/>
              <a:gd name="connsiteY1" fmla="*/ 0 h 1709737"/>
              <a:gd name="connsiteX2" fmla="*/ 752475 w 752475"/>
              <a:gd name="connsiteY2" fmla="*/ 1709737 h 1709737"/>
              <a:gd name="connsiteX3" fmla="*/ 276225 w 752475"/>
              <a:gd name="connsiteY3" fmla="*/ 1709737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52475" h="1709737">
                <a:moveTo>
                  <a:pt x="271462" y="0"/>
                </a:moveTo>
                <a:lnTo>
                  <a:pt x="0" y="0"/>
                </a:lnTo>
                <a:lnTo>
                  <a:pt x="752475" y="1709737"/>
                </a:lnTo>
                <a:lnTo>
                  <a:pt x="276225" y="1709737"/>
                </a:ln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96" name="Straight Connector 1195">
            <a:extLst>
              <a:ext uri="{FF2B5EF4-FFF2-40B4-BE49-F238E27FC236}">
                <a16:creationId xmlns:a16="http://schemas.microsoft.com/office/drawing/2014/main" id="{DBA3265F-B6F0-4839-BF29-2FA2A48F300C}"/>
              </a:ext>
            </a:extLst>
          </xdr:cNvPr>
          <xdr:cNvCxnSpPr/>
        </xdr:nvCxnSpPr>
        <xdr:spPr>
          <a:xfrm flipV="1">
            <a:off x="7286625" y="161301113"/>
            <a:ext cx="0" cy="504826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1198" name="Freeform: Shape 1197">
            <a:extLst>
              <a:ext uri="{FF2B5EF4-FFF2-40B4-BE49-F238E27FC236}">
                <a16:creationId xmlns:a16="http://schemas.microsoft.com/office/drawing/2014/main" id="{778680B4-E051-6D17-7061-260AE4A56DA8}"/>
              </a:ext>
            </a:extLst>
          </xdr:cNvPr>
          <xdr:cNvSpPr/>
        </xdr:nvSpPr>
        <xdr:spPr>
          <a:xfrm>
            <a:off x="5348288" y="161305875"/>
            <a:ext cx="1938337" cy="940439"/>
          </a:xfrm>
          <a:custGeom>
            <a:avLst/>
            <a:gdLst>
              <a:gd name="connsiteX0" fmla="*/ 0 w 1938337"/>
              <a:gd name="connsiteY0" fmla="*/ 209550 h 940439"/>
              <a:gd name="connsiteX1" fmla="*/ 957262 w 1938337"/>
              <a:gd name="connsiteY1" fmla="*/ 938213 h 940439"/>
              <a:gd name="connsiteX2" fmla="*/ 1938337 w 1938337"/>
              <a:gd name="connsiteY2" fmla="*/ 0 h 940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940439">
                <a:moveTo>
                  <a:pt x="0" y="209550"/>
                </a:moveTo>
                <a:cubicBezTo>
                  <a:pt x="317103" y="591344"/>
                  <a:pt x="634206" y="973138"/>
                  <a:pt x="957262" y="938213"/>
                </a:cubicBezTo>
                <a:cubicBezTo>
                  <a:pt x="1280318" y="903288"/>
                  <a:pt x="1782762" y="149225"/>
                  <a:pt x="1938337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00" name="Straight Connector 1199">
            <a:extLst>
              <a:ext uri="{FF2B5EF4-FFF2-40B4-BE49-F238E27FC236}">
                <a16:creationId xmlns:a16="http://schemas.microsoft.com/office/drawing/2014/main" id="{F87141D9-9B23-3A98-19BF-59E43C56E1A5}"/>
              </a:ext>
            </a:extLst>
          </xdr:cNvPr>
          <xdr:cNvCxnSpPr/>
        </xdr:nvCxnSpPr>
        <xdr:spPr>
          <a:xfrm>
            <a:off x="5281611" y="162953700"/>
            <a:ext cx="10287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3" name="Straight Connector 1202">
            <a:extLst>
              <a:ext uri="{FF2B5EF4-FFF2-40B4-BE49-F238E27FC236}">
                <a16:creationId xmlns:a16="http://schemas.microsoft.com/office/drawing/2014/main" id="{84960508-EA72-4689-CF8E-8E8BA0868810}"/>
              </a:ext>
            </a:extLst>
          </xdr:cNvPr>
          <xdr:cNvCxnSpPr/>
        </xdr:nvCxnSpPr>
        <xdr:spPr>
          <a:xfrm flipH="1">
            <a:off x="5305426" y="1629156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5" name="Straight Connector 1204">
            <a:extLst>
              <a:ext uri="{FF2B5EF4-FFF2-40B4-BE49-F238E27FC236}">
                <a16:creationId xmlns:a16="http://schemas.microsoft.com/office/drawing/2014/main" id="{E2E06828-E264-29B3-CD61-C4BE0D0A6EFE}"/>
              </a:ext>
            </a:extLst>
          </xdr:cNvPr>
          <xdr:cNvCxnSpPr/>
        </xdr:nvCxnSpPr>
        <xdr:spPr>
          <a:xfrm>
            <a:off x="6253163" y="161815463"/>
            <a:ext cx="0" cy="4238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1F1EBBB0-24DA-2C9C-37C9-1A6D2C550686}"/>
              </a:ext>
            </a:extLst>
          </xdr:cNvPr>
          <xdr:cNvCxnSpPr/>
        </xdr:nvCxnSpPr>
        <xdr:spPr>
          <a:xfrm>
            <a:off x="6248400" y="162448875"/>
            <a:ext cx="0" cy="576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5" name="Straight Connector 1214">
            <a:extLst>
              <a:ext uri="{FF2B5EF4-FFF2-40B4-BE49-F238E27FC236}">
                <a16:creationId xmlns:a16="http://schemas.microsoft.com/office/drawing/2014/main" id="{5EA1C09B-837B-45C1-8751-7B4B0E544EF3}"/>
              </a:ext>
            </a:extLst>
          </xdr:cNvPr>
          <xdr:cNvCxnSpPr/>
        </xdr:nvCxnSpPr>
        <xdr:spPr>
          <a:xfrm flipH="1">
            <a:off x="6210303" y="1629156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76200</xdr:colOff>
      <xdr:row>1109</xdr:row>
      <xdr:rowOff>33339</xdr:rowOff>
    </xdr:from>
    <xdr:to>
      <xdr:col>25</xdr:col>
      <xdr:colOff>123820</xdr:colOff>
      <xdr:row>1129</xdr:row>
      <xdr:rowOff>66675</xdr:rowOff>
    </xdr:to>
    <xdr:grpSp>
      <xdr:nvGrpSpPr>
        <xdr:cNvPr id="1558" name="Group 1557">
          <a:extLst>
            <a:ext uri="{FF2B5EF4-FFF2-40B4-BE49-F238E27FC236}">
              <a16:creationId xmlns:a16="http://schemas.microsoft.com/office/drawing/2014/main" id="{F1B304D2-E17B-AF39-A252-6A77A8BF87AF}"/>
            </a:ext>
          </a:extLst>
        </xdr:cNvPr>
        <xdr:cNvGrpSpPr/>
      </xdr:nvGrpSpPr>
      <xdr:grpSpPr>
        <a:xfrm>
          <a:off x="1047750" y="161558289"/>
          <a:ext cx="3124195" cy="2890836"/>
          <a:chOff x="1047750" y="161558289"/>
          <a:chExt cx="3124195" cy="2890836"/>
        </a:xfrm>
      </xdr:grpSpPr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9AAF82F6-54D3-4042-A428-F4DD831369C5}"/>
              </a:ext>
            </a:extLst>
          </xdr:cNvPr>
          <xdr:cNvSpPr/>
        </xdr:nvSpPr>
        <xdr:spPr>
          <a:xfrm rot="16200000">
            <a:off x="3661163" y="161754734"/>
            <a:ext cx="273853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03" name="Freeform: Shape 1102">
            <a:extLst>
              <a:ext uri="{FF2B5EF4-FFF2-40B4-BE49-F238E27FC236}">
                <a16:creationId xmlns:a16="http://schemas.microsoft.com/office/drawing/2014/main" id="{52889EE8-B3F0-4715-8CAE-29E12667A9D0}"/>
              </a:ext>
            </a:extLst>
          </xdr:cNvPr>
          <xdr:cNvSpPr/>
        </xdr:nvSpPr>
        <xdr:spPr>
          <a:xfrm>
            <a:off x="1785937" y="161805937"/>
            <a:ext cx="1943100" cy="1719263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86D6ECEB-F650-4EB9-A11B-B3A780C9C1AA}"/>
              </a:ext>
            </a:extLst>
          </xdr:cNvPr>
          <xdr:cNvSpPr/>
        </xdr:nvSpPr>
        <xdr:spPr>
          <a:xfrm>
            <a:off x="1624013" y="16352995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10" name="Straight Connector 1109">
            <a:extLst>
              <a:ext uri="{FF2B5EF4-FFF2-40B4-BE49-F238E27FC236}">
                <a16:creationId xmlns:a16="http://schemas.microsoft.com/office/drawing/2014/main" id="{9C681567-84B3-474B-BFEA-FE85BEBF3775}"/>
              </a:ext>
            </a:extLst>
          </xdr:cNvPr>
          <xdr:cNvCxnSpPr/>
        </xdr:nvCxnSpPr>
        <xdr:spPr>
          <a:xfrm>
            <a:off x="1619250" y="16352519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Arrow Connector 1115">
            <a:extLst>
              <a:ext uri="{FF2B5EF4-FFF2-40B4-BE49-F238E27FC236}">
                <a16:creationId xmlns:a16="http://schemas.microsoft.com/office/drawing/2014/main" id="{E85B1A29-7664-4664-8075-216FA00F28D6}"/>
              </a:ext>
            </a:extLst>
          </xdr:cNvPr>
          <xdr:cNvCxnSpPr/>
        </xdr:nvCxnSpPr>
        <xdr:spPr>
          <a:xfrm>
            <a:off x="1781176" y="1615678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Connector 1119">
            <a:extLst>
              <a:ext uri="{FF2B5EF4-FFF2-40B4-BE49-F238E27FC236}">
                <a16:creationId xmlns:a16="http://schemas.microsoft.com/office/drawing/2014/main" id="{1DAD82B2-93FE-4885-A148-85D52BF8D213}"/>
              </a:ext>
            </a:extLst>
          </xdr:cNvPr>
          <xdr:cNvCxnSpPr/>
        </xdr:nvCxnSpPr>
        <xdr:spPr>
          <a:xfrm>
            <a:off x="1776414" y="161558289"/>
            <a:ext cx="19526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Straight Arrow Connector 1122">
            <a:extLst>
              <a:ext uri="{FF2B5EF4-FFF2-40B4-BE49-F238E27FC236}">
                <a16:creationId xmlns:a16="http://schemas.microsoft.com/office/drawing/2014/main" id="{98ABA392-9AE7-4C15-A823-5740309DC3CF}"/>
              </a:ext>
            </a:extLst>
          </xdr:cNvPr>
          <xdr:cNvCxnSpPr/>
        </xdr:nvCxnSpPr>
        <xdr:spPr>
          <a:xfrm>
            <a:off x="1943101" y="1615678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Arrow Connector 1123">
            <a:extLst>
              <a:ext uri="{FF2B5EF4-FFF2-40B4-BE49-F238E27FC236}">
                <a16:creationId xmlns:a16="http://schemas.microsoft.com/office/drawing/2014/main" id="{04779BB5-3872-4048-BF66-68B4381CB1F9}"/>
              </a:ext>
            </a:extLst>
          </xdr:cNvPr>
          <xdr:cNvCxnSpPr/>
        </xdr:nvCxnSpPr>
        <xdr:spPr>
          <a:xfrm>
            <a:off x="2105027" y="1615678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Arrow Connector 1124">
            <a:extLst>
              <a:ext uri="{FF2B5EF4-FFF2-40B4-BE49-F238E27FC236}">
                <a16:creationId xmlns:a16="http://schemas.microsoft.com/office/drawing/2014/main" id="{2DC5CE3F-CE48-45E4-84DE-55D03629EF8A}"/>
              </a:ext>
            </a:extLst>
          </xdr:cNvPr>
          <xdr:cNvCxnSpPr/>
        </xdr:nvCxnSpPr>
        <xdr:spPr>
          <a:xfrm>
            <a:off x="2266952" y="161567813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Straight Arrow Connector 1127">
            <a:extLst>
              <a:ext uri="{FF2B5EF4-FFF2-40B4-BE49-F238E27FC236}">
                <a16:creationId xmlns:a16="http://schemas.microsoft.com/office/drawing/2014/main" id="{74CFF309-5B56-423A-A255-5CAA91FC70C5}"/>
              </a:ext>
            </a:extLst>
          </xdr:cNvPr>
          <xdr:cNvCxnSpPr/>
        </xdr:nvCxnSpPr>
        <xdr:spPr>
          <a:xfrm>
            <a:off x="2428876" y="1615630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Straight Arrow Connector 1128">
            <a:extLst>
              <a:ext uri="{FF2B5EF4-FFF2-40B4-BE49-F238E27FC236}">
                <a16:creationId xmlns:a16="http://schemas.microsoft.com/office/drawing/2014/main" id="{03DAA1AA-1AFB-4C99-BE0F-AA0490913372}"/>
              </a:ext>
            </a:extLst>
          </xdr:cNvPr>
          <xdr:cNvCxnSpPr/>
        </xdr:nvCxnSpPr>
        <xdr:spPr>
          <a:xfrm>
            <a:off x="2590801" y="1615630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0" name="Straight Arrow Connector 1129">
            <a:extLst>
              <a:ext uri="{FF2B5EF4-FFF2-40B4-BE49-F238E27FC236}">
                <a16:creationId xmlns:a16="http://schemas.microsoft.com/office/drawing/2014/main" id="{C90D0B69-4B94-412E-93B7-E78D85773352}"/>
              </a:ext>
            </a:extLst>
          </xdr:cNvPr>
          <xdr:cNvCxnSpPr/>
        </xdr:nvCxnSpPr>
        <xdr:spPr>
          <a:xfrm>
            <a:off x="2752727" y="1615630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Arrow Connector 1130">
            <a:extLst>
              <a:ext uri="{FF2B5EF4-FFF2-40B4-BE49-F238E27FC236}">
                <a16:creationId xmlns:a16="http://schemas.microsoft.com/office/drawing/2014/main" id="{D721E21E-2E20-4005-92DE-DD6A23E82FE5}"/>
              </a:ext>
            </a:extLst>
          </xdr:cNvPr>
          <xdr:cNvCxnSpPr/>
        </xdr:nvCxnSpPr>
        <xdr:spPr>
          <a:xfrm>
            <a:off x="2914652" y="161563049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Arrow Connector 1131">
            <a:extLst>
              <a:ext uri="{FF2B5EF4-FFF2-40B4-BE49-F238E27FC236}">
                <a16:creationId xmlns:a16="http://schemas.microsoft.com/office/drawing/2014/main" id="{18068D07-D388-438E-A70E-5FB35A7FE89C}"/>
              </a:ext>
            </a:extLst>
          </xdr:cNvPr>
          <xdr:cNvCxnSpPr/>
        </xdr:nvCxnSpPr>
        <xdr:spPr>
          <a:xfrm>
            <a:off x="3076575" y="1615678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Arrow Connector 1132">
            <a:extLst>
              <a:ext uri="{FF2B5EF4-FFF2-40B4-BE49-F238E27FC236}">
                <a16:creationId xmlns:a16="http://schemas.microsoft.com/office/drawing/2014/main" id="{FAAF7824-FEF5-4438-ADC1-76A98A5810F8}"/>
              </a:ext>
            </a:extLst>
          </xdr:cNvPr>
          <xdr:cNvCxnSpPr/>
        </xdr:nvCxnSpPr>
        <xdr:spPr>
          <a:xfrm>
            <a:off x="3238500" y="1615678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Arrow Connector 1134">
            <a:extLst>
              <a:ext uri="{FF2B5EF4-FFF2-40B4-BE49-F238E27FC236}">
                <a16:creationId xmlns:a16="http://schemas.microsoft.com/office/drawing/2014/main" id="{EF1F41E5-25E6-4B24-9500-40B0E35877B4}"/>
              </a:ext>
            </a:extLst>
          </xdr:cNvPr>
          <xdr:cNvCxnSpPr/>
        </xdr:nvCxnSpPr>
        <xdr:spPr>
          <a:xfrm>
            <a:off x="3400426" y="1615678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Arrow Connector 1136">
            <a:extLst>
              <a:ext uri="{FF2B5EF4-FFF2-40B4-BE49-F238E27FC236}">
                <a16:creationId xmlns:a16="http://schemas.microsoft.com/office/drawing/2014/main" id="{53E842F4-BBBF-487C-8CAE-529678E1671C}"/>
              </a:ext>
            </a:extLst>
          </xdr:cNvPr>
          <xdr:cNvCxnSpPr/>
        </xdr:nvCxnSpPr>
        <xdr:spPr>
          <a:xfrm>
            <a:off x="3562351" y="1615678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Connector 1138">
            <a:extLst>
              <a:ext uri="{FF2B5EF4-FFF2-40B4-BE49-F238E27FC236}">
                <a16:creationId xmlns:a16="http://schemas.microsoft.com/office/drawing/2014/main" id="{DA9F08A7-14BE-47CD-9011-D18A8564C337}"/>
              </a:ext>
            </a:extLst>
          </xdr:cNvPr>
          <xdr:cNvCxnSpPr/>
        </xdr:nvCxnSpPr>
        <xdr:spPr>
          <a:xfrm>
            <a:off x="1047750" y="161810700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Connector 1139">
            <a:extLst>
              <a:ext uri="{FF2B5EF4-FFF2-40B4-BE49-F238E27FC236}">
                <a16:creationId xmlns:a16="http://schemas.microsoft.com/office/drawing/2014/main" id="{F0346BCC-8E27-4003-8F53-F8B14128F58B}"/>
              </a:ext>
            </a:extLst>
          </xdr:cNvPr>
          <xdr:cNvCxnSpPr/>
        </xdr:nvCxnSpPr>
        <xdr:spPr>
          <a:xfrm>
            <a:off x="1133476" y="16172973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Connector 1140">
            <a:extLst>
              <a:ext uri="{FF2B5EF4-FFF2-40B4-BE49-F238E27FC236}">
                <a16:creationId xmlns:a16="http://schemas.microsoft.com/office/drawing/2014/main" id="{5E5C4AC6-AA2D-4760-9189-BA92E6FF4A79}"/>
              </a:ext>
            </a:extLst>
          </xdr:cNvPr>
          <xdr:cNvCxnSpPr/>
        </xdr:nvCxnSpPr>
        <xdr:spPr>
          <a:xfrm flipH="1">
            <a:off x="1095375" y="1617725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B398AA9A-E804-4B42-91D6-76D80868CBAA}"/>
              </a:ext>
            </a:extLst>
          </xdr:cNvPr>
          <xdr:cNvCxnSpPr/>
        </xdr:nvCxnSpPr>
        <xdr:spPr>
          <a:xfrm>
            <a:off x="1047751" y="163525201"/>
            <a:ext cx="223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CC963722-2C1E-4B3C-AD38-09A159D6C5A6}"/>
              </a:ext>
            </a:extLst>
          </xdr:cNvPr>
          <xdr:cNvCxnSpPr/>
        </xdr:nvCxnSpPr>
        <xdr:spPr>
          <a:xfrm flipH="1">
            <a:off x="1095376" y="1634871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Connector 1152">
            <a:extLst>
              <a:ext uri="{FF2B5EF4-FFF2-40B4-BE49-F238E27FC236}">
                <a16:creationId xmlns:a16="http://schemas.microsoft.com/office/drawing/2014/main" id="{AD651C95-F26C-4CEF-97F7-5481FA01BAAF}"/>
              </a:ext>
            </a:extLst>
          </xdr:cNvPr>
          <xdr:cNvCxnSpPr/>
        </xdr:nvCxnSpPr>
        <xdr:spPr>
          <a:xfrm>
            <a:off x="1781175" y="16414908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Connector 1153">
            <a:extLst>
              <a:ext uri="{FF2B5EF4-FFF2-40B4-BE49-F238E27FC236}">
                <a16:creationId xmlns:a16="http://schemas.microsoft.com/office/drawing/2014/main" id="{060AACED-7EF0-4D06-9B82-409D0F7F6B2D}"/>
              </a:ext>
            </a:extLst>
          </xdr:cNvPr>
          <xdr:cNvCxnSpPr/>
        </xdr:nvCxnSpPr>
        <xdr:spPr>
          <a:xfrm>
            <a:off x="1700214" y="16438245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5" name="Straight Connector 1154">
            <a:extLst>
              <a:ext uri="{FF2B5EF4-FFF2-40B4-BE49-F238E27FC236}">
                <a16:creationId xmlns:a16="http://schemas.microsoft.com/office/drawing/2014/main" id="{0C535D85-46E9-4AD0-8D20-351F4303D47C}"/>
              </a:ext>
            </a:extLst>
          </xdr:cNvPr>
          <xdr:cNvCxnSpPr/>
        </xdr:nvCxnSpPr>
        <xdr:spPr>
          <a:xfrm flipH="1">
            <a:off x="1743077" y="1643443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Connector 1155">
            <a:extLst>
              <a:ext uri="{FF2B5EF4-FFF2-40B4-BE49-F238E27FC236}">
                <a16:creationId xmlns:a16="http://schemas.microsoft.com/office/drawing/2014/main" id="{633210E5-735B-4251-AF9C-3AFF721CB249}"/>
              </a:ext>
            </a:extLst>
          </xdr:cNvPr>
          <xdr:cNvCxnSpPr/>
        </xdr:nvCxnSpPr>
        <xdr:spPr>
          <a:xfrm>
            <a:off x="3724278" y="162467925"/>
            <a:ext cx="0" cy="1981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Connector 1156">
            <a:extLst>
              <a:ext uri="{FF2B5EF4-FFF2-40B4-BE49-F238E27FC236}">
                <a16:creationId xmlns:a16="http://schemas.microsoft.com/office/drawing/2014/main" id="{117C1BE7-BA7C-468F-ABAE-9381F3969A52}"/>
              </a:ext>
            </a:extLst>
          </xdr:cNvPr>
          <xdr:cNvCxnSpPr/>
        </xdr:nvCxnSpPr>
        <xdr:spPr>
          <a:xfrm flipH="1">
            <a:off x="3686180" y="16434435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Arrow Connector 1157">
            <a:extLst>
              <a:ext uri="{FF2B5EF4-FFF2-40B4-BE49-F238E27FC236}">
                <a16:creationId xmlns:a16="http://schemas.microsoft.com/office/drawing/2014/main" id="{1CD68B30-B0E1-482B-8300-0FF5ECCBC5B6}"/>
              </a:ext>
            </a:extLst>
          </xdr:cNvPr>
          <xdr:cNvCxnSpPr/>
        </xdr:nvCxnSpPr>
        <xdr:spPr>
          <a:xfrm flipV="1">
            <a:off x="1781175" y="16364901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Arrow Connector 1158">
            <a:extLst>
              <a:ext uri="{FF2B5EF4-FFF2-40B4-BE49-F238E27FC236}">
                <a16:creationId xmlns:a16="http://schemas.microsoft.com/office/drawing/2014/main" id="{0717110C-5FC0-4C45-A1BB-90D84C22196F}"/>
              </a:ext>
            </a:extLst>
          </xdr:cNvPr>
          <xdr:cNvCxnSpPr/>
        </xdr:nvCxnSpPr>
        <xdr:spPr>
          <a:xfrm flipV="1">
            <a:off x="3729033" y="161986907"/>
            <a:ext cx="0" cy="25241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Arrow Connector 1159">
            <a:extLst>
              <a:ext uri="{FF2B5EF4-FFF2-40B4-BE49-F238E27FC236}">
                <a16:creationId xmlns:a16="http://schemas.microsoft.com/office/drawing/2014/main" id="{70FAF7C3-E288-4CCA-B68A-EC39148C8A52}"/>
              </a:ext>
            </a:extLst>
          </xdr:cNvPr>
          <xdr:cNvCxnSpPr/>
        </xdr:nvCxnSpPr>
        <xdr:spPr>
          <a:xfrm>
            <a:off x="1309688" y="163525194"/>
            <a:ext cx="3000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Arrow Connector 1160">
            <a:extLst>
              <a:ext uri="{FF2B5EF4-FFF2-40B4-BE49-F238E27FC236}">
                <a16:creationId xmlns:a16="http://schemas.microsoft.com/office/drawing/2014/main" id="{F3F4FE50-A029-42A6-ABC7-6EE68CB939A0}"/>
              </a:ext>
            </a:extLst>
          </xdr:cNvPr>
          <xdr:cNvCxnSpPr/>
        </xdr:nvCxnSpPr>
        <xdr:spPr>
          <a:xfrm flipH="1">
            <a:off x="3862382" y="161805937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Connector 1162">
            <a:extLst>
              <a:ext uri="{FF2B5EF4-FFF2-40B4-BE49-F238E27FC236}">
                <a16:creationId xmlns:a16="http://schemas.microsoft.com/office/drawing/2014/main" id="{0A8293BE-D550-4E83-9766-909277DB6A6B}"/>
              </a:ext>
            </a:extLst>
          </xdr:cNvPr>
          <xdr:cNvCxnSpPr/>
        </xdr:nvCxnSpPr>
        <xdr:spPr>
          <a:xfrm>
            <a:off x="3729034" y="161667826"/>
            <a:ext cx="0" cy="28574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Arrow Connector 1163">
            <a:extLst>
              <a:ext uri="{FF2B5EF4-FFF2-40B4-BE49-F238E27FC236}">
                <a16:creationId xmlns:a16="http://schemas.microsoft.com/office/drawing/2014/main" id="{0F224A2F-C29F-498B-AB80-CC63D7B1311B}"/>
              </a:ext>
            </a:extLst>
          </xdr:cNvPr>
          <xdr:cNvCxnSpPr/>
        </xdr:nvCxnSpPr>
        <xdr:spPr>
          <a:xfrm>
            <a:off x="3724276" y="161567811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6" name="Arc 1215">
            <a:extLst>
              <a:ext uri="{FF2B5EF4-FFF2-40B4-BE49-F238E27FC236}">
                <a16:creationId xmlns:a16="http://schemas.microsoft.com/office/drawing/2014/main" id="{055554FA-76FD-81A1-D34E-FC0EB09113FD}"/>
              </a:ext>
            </a:extLst>
          </xdr:cNvPr>
          <xdr:cNvSpPr/>
        </xdr:nvSpPr>
        <xdr:spPr>
          <a:xfrm rot="8152604">
            <a:off x="1543051" y="163382325"/>
            <a:ext cx="476250" cy="476250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49" name="Arc 1248">
            <a:extLst>
              <a:ext uri="{FF2B5EF4-FFF2-40B4-BE49-F238E27FC236}">
                <a16:creationId xmlns:a16="http://schemas.microsoft.com/office/drawing/2014/main" id="{56BFA40C-B900-408B-A70D-42A34C577490}"/>
              </a:ext>
            </a:extLst>
          </xdr:cNvPr>
          <xdr:cNvSpPr/>
        </xdr:nvSpPr>
        <xdr:spPr>
          <a:xfrm rot="2671315">
            <a:off x="3548063" y="161596387"/>
            <a:ext cx="476250" cy="476250"/>
          </a:xfrm>
          <a:prstGeom prst="arc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76200</xdr:colOff>
      <xdr:row>1132</xdr:row>
      <xdr:rowOff>1</xdr:rowOff>
    </xdr:from>
    <xdr:to>
      <xdr:col>25</xdr:col>
      <xdr:colOff>123820</xdr:colOff>
      <xdr:row>1151</xdr:row>
      <xdr:rowOff>66675</xdr:rowOff>
    </xdr:to>
    <xdr:grpSp>
      <xdr:nvGrpSpPr>
        <xdr:cNvPr id="1560" name="Group 1559">
          <a:extLst>
            <a:ext uri="{FF2B5EF4-FFF2-40B4-BE49-F238E27FC236}">
              <a16:creationId xmlns:a16="http://schemas.microsoft.com/office/drawing/2014/main" id="{075E7B1A-99E8-167E-6E9D-A8F032344130}"/>
            </a:ext>
          </a:extLst>
        </xdr:cNvPr>
        <xdr:cNvGrpSpPr/>
      </xdr:nvGrpSpPr>
      <xdr:grpSpPr>
        <a:xfrm>
          <a:off x="1047750" y="164811076"/>
          <a:ext cx="3124195" cy="2781299"/>
          <a:chOff x="1047750" y="164811076"/>
          <a:chExt cx="3124195" cy="2781299"/>
        </a:xfrm>
      </xdr:grpSpPr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7FF84FDF-82A0-4672-BBA4-6B85B43EF31E}"/>
              </a:ext>
            </a:extLst>
          </xdr:cNvPr>
          <xdr:cNvSpPr/>
        </xdr:nvSpPr>
        <xdr:spPr>
          <a:xfrm rot="16200000">
            <a:off x="3661163" y="164897984"/>
            <a:ext cx="273853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57" name="Freeform: Shape 1256">
            <a:extLst>
              <a:ext uri="{FF2B5EF4-FFF2-40B4-BE49-F238E27FC236}">
                <a16:creationId xmlns:a16="http://schemas.microsoft.com/office/drawing/2014/main" id="{94844BE2-C075-4FCE-A41C-8027B7733262}"/>
              </a:ext>
            </a:extLst>
          </xdr:cNvPr>
          <xdr:cNvSpPr/>
        </xdr:nvSpPr>
        <xdr:spPr>
          <a:xfrm>
            <a:off x="1785937" y="164949187"/>
            <a:ext cx="1943100" cy="1709737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A48A875C-AA2E-492F-905C-1E33AA37356B}"/>
              </a:ext>
            </a:extLst>
          </xdr:cNvPr>
          <xdr:cNvSpPr/>
        </xdr:nvSpPr>
        <xdr:spPr>
          <a:xfrm>
            <a:off x="1624013" y="166673205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60" name="Straight Connector 1259">
            <a:extLst>
              <a:ext uri="{FF2B5EF4-FFF2-40B4-BE49-F238E27FC236}">
                <a16:creationId xmlns:a16="http://schemas.microsoft.com/office/drawing/2014/main" id="{8F6C4D29-8FFC-4CBA-83F1-BE1A4253FCD9}"/>
              </a:ext>
            </a:extLst>
          </xdr:cNvPr>
          <xdr:cNvCxnSpPr/>
        </xdr:nvCxnSpPr>
        <xdr:spPr>
          <a:xfrm>
            <a:off x="1619250" y="166668444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1" name="Straight Connector 1260">
            <a:extLst>
              <a:ext uri="{FF2B5EF4-FFF2-40B4-BE49-F238E27FC236}">
                <a16:creationId xmlns:a16="http://schemas.microsoft.com/office/drawing/2014/main" id="{1EC15F8F-777A-4DFC-829B-209F330A50ED}"/>
              </a:ext>
            </a:extLst>
          </xdr:cNvPr>
          <xdr:cNvCxnSpPr/>
        </xdr:nvCxnSpPr>
        <xdr:spPr>
          <a:xfrm>
            <a:off x="1047750" y="164953950"/>
            <a:ext cx="3619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1" name="Straight Connector 1270">
            <a:extLst>
              <a:ext uri="{FF2B5EF4-FFF2-40B4-BE49-F238E27FC236}">
                <a16:creationId xmlns:a16="http://schemas.microsoft.com/office/drawing/2014/main" id="{7D9401B7-7AEF-4194-8FF2-B020AD11632A}"/>
              </a:ext>
            </a:extLst>
          </xdr:cNvPr>
          <xdr:cNvCxnSpPr/>
        </xdr:nvCxnSpPr>
        <xdr:spPr>
          <a:xfrm>
            <a:off x="1133476" y="164872986"/>
            <a:ext cx="0" cy="1881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3" name="Straight Connector 1272">
            <a:extLst>
              <a:ext uri="{FF2B5EF4-FFF2-40B4-BE49-F238E27FC236}">
                <a16:creationId xmlns:a16="http://schemas.microsoft.com/office/drawing/2014/main" id="{825C0855-EC9D-4807-A705-438FE5F4BBEF}"/>
              </a:ext>
            </a:extLst>
          </xdr:cNvPr>
          <xdr:cNvCxnSpPr/>
        </xdr:nvCxnSpPr>
        <xdr:spPr>
          <a:xfrm flipH="1">
            <a:off x="1095375" y="16491584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Straight Connector 1274">
            <a:extLst>
              <a:ext uri="{FF2B5EF4-FFF2-40B4-BE49-F238E27FC236}">
                <a16:creationId xmlns:a16="http://schemas.microsoft.com/office/drawing/2014/main" id="{17ED3D43-63B4-4E79-8924-004070E959D6}"/>
              </a:ext>
            </a:extLst>
          </xdr:cNvPr>
          <xdr:cNvCxnSpPr/>
        </xdr:nvCxnSpPr>
        <xdr:spPr>
          <a:xfrm>
            <a:off x="1047751" y="166668451"/>
            <a:ext cx="3333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A6A62EE8-D49B-47B8-B41C-F978680A1AB7}"/>
              </a:ext>
            </a:extLst>
          </xdr:cNvPr>
          <xdr:cNvCxnSpPr/>
        </xdr:nvCxnSpPr>
        <xdr:spPr>
          <a:xfrm flipH="1">
            <a:off x="1095378" y="1666303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7" name="Straight Connector 1306">
            <a:extLst>
              <a:ext uri="{FF2B5EF4-FFF2-40B4-BE49-F238E27FC236}">
                <a16:creationId xmlns:a16="http://schemas.microsoft.com/office/drawing/2014/main" id="{05663B77-2727-4641-90EE-513F21444AA8}"/>
              </a:ext>
            </a:extLst>
          </xdr:cNvPr>
          <xdr:cNvCxnSpPr/>
        </xdr:nvCxnSpPr>
        <xdr:spPr>
          <a:xfrm>
            <a:off x="1781175" y="1672923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Straight Connector 1322">
            <a:extLst>
              <a:ext uri="{FF2B5EF4-FFF2-40B4-BE49-F238E27FC236}">
                <a16:creationId xmlns:a16="http://schemas.microsoft.com/office/drawing/2014/main" id="{E630845E-2FF5-45B4-BDB8-B0979FE0124F}"/>
              </a:ext>
            </a:extLst>
          </xdr:cNvPr>
          <xdr:cNvCxnSpPr/>
        </xdr:nvCxnSpPr>
        <xdr:spPr>
          <a:xfrm>
            <a:off x="1700214" y="167525701"/>
            <a:ext cx="209073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4" name="Straight Connector 1323">
            <a:extLst>
              <a:ext uri="{FF2B5EF4-FFF2-40B4-BE49-F238E27FC236}">
                <a16:creationId xmlns:a16="http://schemas.microsoft.com/office/drawing/2014/main" id="{06418F0D-E75A-4639-B2C1-BCDBCA53BE26}"/>
              </a:ext>
            </a:extLst>
          </xdr:cNvPr>
          <xdr:cNvCxnSpPr/>
        </xdr:nvCxnSpPr>
        <xdr:spPr>
          <a:xfrm flipH="1">
            <a:off x="1743077" y="167487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5" name="Straight Connector 1324">
            <a:extLst>
              <a:ext uri="{FF2B5EF4-FFF2-40B4-BE49-F238E27FC236}">
                <a16:creationId xmlns:a16="http://schemas.microsoft.com/office/drawing/2014/main" id="{1378008E-B455-4429-8921-C6F54E8C31A4}"/>
              </a:ext>
            </a:extLst>
          </xdr:cNvPr>
          <xdr:cNvCxnSpPr/>
        </xdr:nvCxnSpPr>
        <xdr:spPr>
          <a:xfrm>
            <a:off x="3724278" y="165611175"/>
            <a:ext cx="0" cy="1981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6" name="Straight Connector 1325">
            <a:extLst>
              <a:ext uri="{FF2B5EF4-FFF2-40B4-BE49-F238E27FC236}">
                <a16:creationId xmlns:a16="http://schemas.microsoft.com/office/drawing/2014/main" id="{31F57192-043C-471C-A28E-3B97886F2C96}"/>
              </a:ext>
            </a:extLst>
          </xdr:cNvPr>
          <xdr:cNvCxnSpPr/>
        </xdr:nvCxnSpPr>
        <xdr:spPr>
          <a:xfrm flipH="1">
            <a:off x="3686180" y="16748760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Straight Arrow Connector 1326">
            <a:extLst>
              <a:ext uri="{FF2B5EF4-FFF2-40B4-BE49-F238E27FC236}">
                <a16:creationId xmlns:a16="http://schemas.microsoft.com/office/drawing/2014/main" id="{B72D24F8-9CE5-4E30-BBC7-5F7A4C02708A}"/>
              </a:ext>
            </a:extLst>
          </xdr:cNvPr>
          <xdr:cNvCxnSpPr/>
        </xdr:nvCxnSpPr>
        <xdr:spPr>
          <a:xfrm flipV="1">
            <a:off x="1781175" y="166792269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1" name="Straight Arrow Connector 1330">
            <a:extLst>
              <a:ext uri="{FF2B5EF4-FFF2-40B4-BE49-F238E27FC236}">
                <a16:creationId xmlns:a16="http://schemas.microsoft.com/office/drawing/2014/main" id="{D759D989-83FE-443F-9AD5-5745D2EC74D8}"/>
              </a:ext>
            </a:extLst>
          </xdr:cNvPr>
          <xdr:cNvCxnSpPr/>
        </xdr:nvCxnSpPr>
        <xdr:spPr>
          <a:xfrm flipV="1">
            <a:off x="3729033" y="165130157"/>
            <a:ext cx="0" cy="252418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2" name="Straight Arrow Connector 1331">
            <a:extLst>
              <a:ext uri="{FF2B5EF4-FFF2-40B4-BE49-F238E27FC236}">
                <a16:creationId xmlns:a16="http://schemas.microsoft.com/office/drawing/2014/main" id="{7470E368-6EF2-4A64-839D-E3919A7483B8}"/>
              </a:ext>
            </a:extLst>
          </xdr:cNvPr>
          <xdr:cNvCxnSpPr/>
        </xdr:nvCxnSpPr>
        <xdr:spPr>
          <a:xfrm>
            <a:off x="1971675" y="166663682"/>
            <a:ext cx="300037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3" name="Straight Arrow Connector 1332">
            <a:extLst>
              <a:ext uri="{FF2B5EF4-FFF2-40B4-BE49-F238E27FC236}">
                <a16:creationId xmlns:a16="http://schemas.microsoft.com/office/drawing/2014/main" id="{F002F165-F881-4C80-998F-93A3834FFBCE}"/>
              </a:ext>
            </a:extLst>
          </xdr:cNvPr>
          <xdr:cNvCxnSpPr/>
        </xdr:nvCxnSpPr>
        <xdr:spPr>
          <a:xfrm flipH="1">
            <a:off x="3862382" y="164949187"/>
            <a:ext cx="3095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7" name="Straight Connector 1336">
            <a:extLst>
              <a:ext uri="{FF2B5EF4-FFF2-40B4-BE49-F238E27FC236}">
                <a16:creationId xmlns:a16="http://schemas.microsoft.com/office/drawing/2014/main" id="{773C36FC-2E6B-4368-8209-4F025A03906F}"/>
              </a:ext>
            </a:extLst>
          </xdr:cNvPr>
          <xdr:cNvCxnSpPr/>
        </xdr:nvCxnSpPr>
        <xdr:spPr>
          <a:xfrm>
            <a:off x="3729034" y="164811076"/>
            <a:ext cx="0" cy="28574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Connector 1338">
            <a:extLst>
              <a:ext uri="{FF2B5EF4-FFF2-40B4-BE49-F238E27FC236}">
                <a16:creationId xmlns:a16="http://schemas.microsoft.com/office/drawing/2014/main" id="{ED162E05-EE18-495F-82FA-A7E1A8646335}"/>
              </a:ext>
            </a:extLst>
          </xdr:cNvPr>
          <xdr:cNvCxnSpPr/>
        </xdr:nvCxnSpPr>
        <xdr:spPr>
          <a:xfrm>
            <a:off x="1662132" y="164949184"/>
            <a:ext cx="0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Arrow Connector 1340">
            <a:extLst>
              <a:ext uri="{FF2B5EF4-FFF2-40B4-BE49-F238E27FC236}">
                <a16:creationId xmlns:a16="http://schemas.microsoft.com/office/drawing/2014/main" id="{86E421E0-8681-4C2F-BDBD-5D94CD2A4F5A}"/>
              </a:ext>
            </a:extLst>
          </xdr:cNvPr>
          <xdr:cNvCxnSpPr/>
        </xdr:nvCxnSpPr>
        <xdr:spPr>
          <a:xfrm>
            <a:off x="1462106" y="164953947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Arrow Connector 1341">
            <a:extLst>
              <a:ext uri="{FF2B5EF4-FFF2-40B4-BE49-F238E27FC236}">
                <a16:creationId xmlns:a16="http://schemas.microsoft.com/office/drawing/2014/main" id="{38507B04-E82A-424D-9EA9-1ABE9FBE361E}"/>
              </a:ext>
            </a:extLst>
          </xdr:cNvPr>
          <xdr:cNvCxnSpPr/>
        </xdr:nvCxnSpPr>
        <xdr:spPr>
          <a:xfrm>
            <a:off x="1457343" y="165092059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Arrow Connector 1342">
            <a:extLst>
              <a:ext uri="{FF2B5EF4-FFF2-40B4-BE49-F238E27FC236}">
                <a16:creationId xmlns:a16="http://schemas.microsoft.com/office/drawing/2014/main" id="{16262AC1-F56D-45BB-812A-03E9CDA524B0}"/>
              </a:ext>
            </a:extLst>
          </xdr:cNvPr>
          <xdr:cNvCxnSpPr/>
        </xdr:nvCxnSpPr>
        <xdr:spPr>
          <a:xfrm>
            <a:off x="1457337" y="165234937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4" name="Straight Arrow Connector 1343">
            <a:extLst>
              <a:ext uri="{FF2B5EF4-FFF2-40B4-BE49-F238E27FC236}">
                <a16:creationId xmlns:a16="http://schemas.microsoft.com/office/drawing/2014/main" id="{3BE48645-0493-4E6E-8790-ADA9CCD4F558}"/>
              </a:ext>
            </a:extLst>
          </xdr:cNvPr>
          <xdr:cNvCxnSpPr/>
        </xdr:nvCxnSpPr>
        <xdr:spPr>
          <a:xfrm>
            <a:off x="1452574" y="165377812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Arrow Connector 1344">
            <a:extLst>
              <a:ext uri="{FF2B5EF4-FFF2-40B4-BE49-F238E27FC236}">
                <a16:creationId xmlns:a16="http://schemas.microsoft.com/office/drawing/2014/main" id="{380A35B6-1EA2-4BEE-B8C6-C97962B5BEBC}"/>
              </a:ext>
            </a:extLst>
          </xdr:cNvPr>
          <xdr:cNvCxnSpPr/>
        </xdr:nvCxnSpPr>
        <xdr:spPr>
          <a:xfrm>
            <a:off x="1462101" y="16552069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Arrow Connector 1345">
            <a:extLst>
              <a:ext uri="{FF2B5EF4-FFF2-40B4-BE49-F238E27FC236}">
                <a16:creationId xmlns:a16="http://schemas.microsoft.com/office/drawing/2014/main" id="{DC3DD66F-66CB-4919-9EE1-4FB5F2A79DF0}"/>
              </a:ext>
            </a:extLst>
          </xdr:cNvPr>
          <xdr:cNvCxnSpPr/>
        </xdr:nvCxnSpPr>
        <xdr:spPr>
          <a:xfrm>
            <a:off x="1457338" y="165663566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Arrow Connector 1346">
            <a:extLst>
              <a:ext uri="{FF2B5EF4-FFF2-40B4-BE49-F238E27FC236}">
                <a16:creationId xmlns:a16="http://schemas.microsoft.com/office/drawing/2014/main" id="{B6C51B0E-4107-4BF1-A4A8-747C47A6ACA4}"/>
              </a:ext>
            </a:extLst>
          </xdr:cNvPr>
          <xdr:cNvCxnSpPr/>
        </xdr:nvCxnSpPr>
        <xdr:spPr>
          <a:xfrm>
            <a:off x="1457332" y="165806444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8" name="Straight Arrow Connector 1347">
            <a:extLst>
              <a:ext uri="{FF2B5EF4-FFF2-40B4-BE49-F238E27FC236}">
                <a16:creationId xmlns:a16="http://schemas.microsoft.com/office/drawing/2014/main" id="{324A0C8E-A38B-4007-BD6E-30064328117A}"/>
              </a:ext>
            </a:extLst>
          </xdr:cNvPr>
          <xdr:cNvCxnSpPr/>
        </xdr:nvCxnSpPr>
        <xdr:spPr>
          <a:xfrm>
            <a:off x="1452569" y="165949319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9" name="Straight Arrow Connector 1348">
            <a:extLst>
              <a:ext uri="{FF2B5EF4-FFF2-40B4-BE49-F238E27FC236}">
                <a16:creationId xmlns:a16="http://schemas.microsoft.com/office/drawing/2014/main" id="{D6C9DC10-6D49-4DEC-BA20-6D36DA4AF304}"/>
              </a:ext>
            </a:extLst>
          </xdr:cNvPr>
          <xdr:cNvCxnSpPr/>
        </xdr:nvCxnSpPr>
        <xdr:spPr>
          <a:xfrm>
            <a:off x="1462093" y="16609220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Arrow Connector 1349">
            <a:extLst>
              <a:ext uri="{FF2B5EF4-FFF2-40B4-BE49-F238E27FC236}">
                <a16:creationId xmlns:a16="http://schemas.microsoft.com/office/drawing/2014/main" id="{427E91B8-3DB2-4432-8F8A-B011184B26AE}"/>
              </a:ext>
            </a:extLst>
          </xdr:cNvPr>
          <xdr:cNvCxnSpPr/>
        </xdr:nvCxnSpPr>
        <xdr:spPr>
          <a:xfrm>
            <a:off x="1457330" y="166235076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4" name="Straight Arrow Connector 1363">
            <a:extLst>
              <a:ext uri="{FF2B5EF4-FFF2-40B4-BE49-F238E27FC236}">
                <a16:creationId xmlns:a16="http://schemas.microsoft.com/office/drawing/2014/main" id="{E3EC9E84-3484-4999-9D3B-67B28A6A8AFD}"/>
              </a:ext>
            </a:extLst>
          </xdr:cNvPr>
          <xdr:cNvCxnSpPr/>
        </xdr:nvCxnSpPr>
        <xdr:spPr>
          <a:xfrm>
            <a:off x="1457324" y="166377954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6" name="Straight Arrow Connector 1365">
            <a:extLst>
              <a:ext uri="{FF2B5EF4-FFF2-40B4-BE49-F238E27FC236}">
                <a16:creationId xmlns:a16="http://schemas.microsoft.com/office/drawing/2014/main" id="{01FD1B9D-A4CE-4595-8B8F-285312DC33B7}"/>
              </a:ext>
            </a:extLst>
          </xdr:cNvPr>
          <xdr:cNvCxnSpPr/>
        </xdr:nvCxnSpPr>
        <xdr:spPr>
          <a:xfrm>
            <a:off x="1452561" y="166520829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7" name="Straight Connector 1366">
            <a:extLst>
              <a:ext uri="{FF2B5EF4-FFF2-40B4-BE49-F238E27FC236}">
                <a16:creationId xmlns:a16="http://schemas.microsoft.com/office/drawing/2014/main" id="{4D40CDB0-F2AC-4B68-AC7D-CC7E78E5C01C}"/>
              </a:ext>
            </a:extLst>
          </xdr:cNvPr>
          <xdr:cNvCxnSpPr/>
        </xdr:nvCxnSpPr>
        <xdr:spPr>
          <a:xfrm>
            <a:off x="1457344" y="164953947"/>
            <a:ext cx="0" cy="1709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8" name="Straight Arrow Connector 1367">
            <a:extLst>
              <a:ext uri="{FF2B5EF4-FFF2-40B4-BE49-F238E27FC236}">
                <a16:creationId xmlns:a16="http://schemas.microsoft.com/office/drawing/2014/main" id="{6066A014-26D6-479D-8EBC-772302535C27}"/>
              </a:ext>
            </a:extLst>
          </xdr:cNvPr>
          <xdr:cNvCxnSpPr/>
        </xdr:nvCxnSpPr>
        <xdr:spPr>
          <a:xfrm>
            <a:off x="1457323" y="166668469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0" name="Arc 1369">
            <a:extLst>
              <a:ext uri="{FF2B5EF4-FFF2-40B4-BE49-F238E27FC236}">
                <a16:creationId xmlns:a16="http://schemas.microsoft.com/office/drawing/2014/main" id="{42077005-895C-4F84-A7D6-1EB4D05B68C0}"/>
              </a:ext>
            </a:extLst>
          </xdr:cNvPr>
          <xdr:cNvSpPr/>
        </xdr:nvSpPr>
        <xdr:spPr>
          <a:xfrm rot="8152604">
            <a:off x="1552576" y="166539861"/>
            <a:ext cx="476250" cy="476250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21</xdr:col>
      <xdr:colOff>147638</xdr:colOff>
      <xdr:row>1131</xdr:row>
      <xdr:rowOff>52387</xdr:rowOff>
    </xdr:from>
    <xdr:to>
      <xdr:col>24</xdr:col>
      <xdr:colOff>138113</xdr:colOff>
      <xdr:row>1134</xdr:row>
      <xdr:rowOff>100012</xdr:rowOff>
    </xdr:to>
    <xdr:sp macro="" textlink="">
      <xdr:nvSpPr>
        <xdr:cNvPr id="1371" name="Arc 1370">
          <a:extLst>
            <a:ext uri="{FF2B5EF4-FFF2-40B4-BE49-F238E27FC236}">
              <a16:creationId xmlns:a16="http://schemas.microsoft.com/office/drawing/2014/main" id="{87182DF0-E620-4C27-AD04-56BAE14517F4}"/>
            </a:ext>
          </a:extLst>
        </xdr:cNvPr>
        <xdr:cNvSpPr/>
      </xdr:nvSpPr>
      <xdr:spPr>
        <a:xfrm rot="2671315">
          <a:off x="3548063" y="163558537"/>
          <a:ext cx="476250" cy="476250"/>
        </a:xfrm>
        <a:prstGeom prst="arc">
          <a:avLst/>
        </a:prstGeom>
        <a:ln w="15875"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30</xdr:col>
      <xdr:colOff>0</xdr:colOff>
      <xdr:row>1130</xdr:row>
      <xdr:rowOff>80963</xdr:rowOff>
    </xdr:from>
    <xdr:to>
      <xdr:col>45</xdr:col>
      <xdr:colOff>4762</xdr:colOff>
      <xdr:row>1145</xdr:row>
      <xdr:rowOff>66675</xdr:rowOff>
    </xdr:to>
    <xdr:grpSp>
      <xdr:nvGrpSpPr>
        <xdr:cNvPr id="1561" name="Group 1560">
          <a:extLst>
            <a:ext uri="{FF2B5EF4-FFF2-40B4-BE49-F238E27FC236}">
              <a16:creationId xmlns:a16="http://schemas.microsoft.com/office/drawing/2014/main" id="{1A8224BF-DF65-6F44-76D9-39FCE413202C}"/>
            </a:ext>
          </a:extLst>
        </xdr:cNvPr>
        <xdr:cNvGrpSpPr/>
      </xdr:nvGrpSpPr>
      <xdr:grpSpPr>
        <a:xfrm>
          <a:off x="4857750" y="164606288"/>
          <a:ext cx="2433637" cy="2128837"/>
          <a:chOff x="4857750" y="164606288"/>
          <a:chExt cx="2433637" cy="2128837"/>
        </a:xfrm>
      </xdr:grpSpPr>
      <xdr:sp macro="" textlink="">
        <xdr:nvSpPr>
          <xdr:cNvPr id="1372" name="Freeform: Shape 1371">
            <a:extLst>
              <a:ext uri="{FF2B5EF4-FFF2-40B4-BE49-F238E27FC236}">
                <a16:creationId xmlns:a16="http://schemas.microsoft.com/office/drawing/2014/main" id="{14D48DAD-BD8A-492E-9CC9-A46D8DAA668F}"/>
              </a:ext>
            </a:extLst>
          </xdr:cNvPr>
          <xdr:cNvSpPr/>
        </xdr:nvSpPr>
        <xdr:spPr>
          <a:xfrm>
            <a:off x="5348287" y="164958712"/>
            <a:ext cx="1943100" cy="1709737"/>
          </a:xfrm>
          <a:custGeom>
            <a:avLst/>
            <a:gdLst>
              <a:gd name="connsiteX0" fmla="*/ 0 w 1943100"/>
              <a:gd name="connsiteY0" fmla="*/ 1709737 h 1709737"/>
              <a:gd name="connsiteX1" fmla="*/ 0 w 1943100"/>
              <a:gd name="connsiteY1" fmla="*/ 0 h 1709737"/>
              <a:gd name="connsiteX2" fmla="*/ 1943100 w 1943100"/>
              <a:gd name="connsiteY2" fmla="*/ 0 h 1709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1709737">
                <a:moveTo>
                  <a:pt x="0" y="1709737"/>
                </a:moveTo>
                <a:lnTo>
                  <a:pt x="0" y="0"/>
                </a:lnTo>
                <a:lnTo>
                  <a:pt x="1943100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375" name="Straight Connector 1374">
            <a:extLst>
              <a:ext uri="{FF2B5EF4-FFF2-40B4-BE49-F238E27FC236}">
                <a16:creationId xmlns:a16="http://schemas.microsoft.com/office/drawing/2014/main" id="{9A1A555E-7FC7-34B4-1C0A-F1A86ECFFB14}"/>
              </a:ext>
            </a:extLst>
          </xdr:cNvPr>
          <xdr:cNvCxnSpPr/>
        </xdr:nvCxnSpPr>
        <xdr:spPr>
          <a:xfrm flipH="1">
            <a:off x="5014913" y="164953949"/>
            <a:ext cx="328612" cy="0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376" name="Straight Connector 1375">
            <a:extLst>
              <a:ext uri="{FF2B5EF4-FFF2-40B4-BE49-F238E27FC236}">
                <a16:creationId xmlns:a16="http://schemas.microsoft.com/office/drawing/2014/main" id="{D634DFD2-BADB-496F-8088-E2907D96E8B9}"/>
              </a:ext>
            </a:extLst>
          </xdr:cNvPr>
          <xdr:cNvCxnSpPr/>
        </xdr:nvCxnSpPr>
        <xdr:spPr>
          <a:xfrm flipH="1">
            <a:off x="4857751" y="166668449"/>
            <a:ext cx="500062" cy="0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1395" name="Freeform: Shape 1394">
            <a:extLst>
              <a:ext uri="{FF2B5EF4-FFF2-40B4-BE49-F238E27FC236}">
                <a16:creationId xmlns:a16="http://schemas.microsoft.com/office/drawing/2014/main" id="{B35DE457-D792-0E00-3A16-F16B1C4693CC}"/>
              </a:ext>
            </a:extLst>
          </xdr:cNvPr>
          <xdr:cNvSpPr/>
        </xdr:nvSpPr>
        <xdr:spPr>
          <a:xfrm>
            <a:off x="5343526" y="164606288"/>
            <a:ext cx="1943100" cy="638175"/>
          </a:xfrm>
          <a:custGeom>
            <a:avLst/>
            <a:gdLst>
              <a:gd name="connsiteX0" fmla="*/ 0 w 1938337"/>
              <a:gd name="connsiteY0" fmla="*/ 352425 h 638175"/>
              <a:gd name="connsiteX1" fmla="*/ 0 w 1938337"/>
              <a:gd name="connsiteY1" fmla="*/ 0 h 638175"/>
              <a:gd name="connsiteX2" fmla="*/ 1938337 w 1938337"/>
              <a:gd name="connsiteY2" fmla="*/ 638175 h 638175"/>
              <a:gd name="connsiteX3" fmla="*/ 1938337 w 1938337"/>
              <a:gd name="connsiteY3" fmla="*/ 352425 h 6381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8337" h="638175">
                <a:moveTo>
                  <a:pt x="0" y="352425"/>
                </a:moveTo>
                <a:lnTo>
                  <a:pt x="0" y="0"/>
                </a:lnTo>
                <a:lnTo>
                  <a:pt x="1938337" y="638175"/>
                </a:lnTo>
                <a:lnTo>
                  <a:pt x="1938337" y="352425"/>
                </a:ln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96" name="Freeform: Shape 1395">
            <a:extLst>
              <a:ext uri="{FF2B5EF4-FFF2-40B4-BE49-F238E27FC236}">
                <a16:creationId xmlns:a16="http://schemas.microsoft.com/office/drawing/2014/main" id="{17EC6076-5011-C7F2-C61B-699F7159AA72}"/>
              </a:ext>
            </a:extLst>
          </xdr:cNvPr>
          <xdr:cNvSpPr/>
        </xdr:nvSpPr>
        <xdr:spPr>
          <a:xfrm>
            <a:off x="4857750" y="164949188"/>
            <a:ext cx="1053648" cy="1724025"/>
          </a:xfrm>
          <a:custGeom>
            <a:avLst/>
            <a:gdLst>
              <a:gd name="connsiteX0" fmla="*/ 161925 w 1053648"/>
              <a:gd name="connsiteY0" fmla="*/ 0 h 1724025"/>
              <a:gd name="connsiteX1" fmla="*/ 1052513 w 1053648"/>
              <a:gd name="connsiteY1" fmla="*/ 904875 h 1724025"/>
              <a:gd name="connsiteX2" fmla="*/ 0 w 1053648"/>
              <a:gd name="connsiteY2" fmla="*/ 1724025 h 1724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53648" h="1724025">
                <a:moveTo>
                  <a:pt x="161925" y="0"/>
                </a:moveTo>
                <a:cubicBezTo>
                  <a:pt x="620713" y="308769"/>
                  <a:pt x="1079501" y="617538"/>
                  <a:pt x="1052513" y="904875"/>
                </a:cubicBezTo>
                <a:cubicBezTo>
                  <a:pt x="1025526" y="1192213"/>
                  <a:pt x="512763" y="1458119"/>
                  <a:pt x="0" y="1724025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08" name="Straight Connector 1407">
            <a:extLst>
              <a:ext uri="{FF2B5EF4-FFF2-40B4-BE49-F238E27FC236}">
                <a16:creationId xmlns:a16="http://schemas.microsoft.com/office/drawing/2014/main" id="{EE99BC5F-E7F5-BED0-3EEF-2F222053F121}"/>
              </a:ext>
            </a:extLst>
          </xdr:cNvPr>
          <xdr:cNvCxnSpPr/>
        </xdr:nvCxnSpPr>
        <xdr:spPr>
          <a:xfrm>
            <a:off x="5343526" y="165815963"/>
            <a:ext cx="571499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0" name="Straight Connector 1409">
            <a:extLst>
              <a:ext uri="{FF2B5EF4-FFF2-40B4-BE49-F238E27FC236}">
                <a16:creationId xmlns:a16="http://schemas.microsoft.com/office/drawing/2014/main" id="{FEFF89CE-5516-4FBB-876F-ABF67EF6F952}"/>
              </a:ext>
            </a:extLst>
          </xdr:cNvPr>
          <xdr:cNvCxnSpPr/>
        </xdr:nvCxnSpPr>
        <xdr:spPr>
          <a:xfrm>
            <a:off x="5981701" y="165811200"/>
            <a:ext cx="74294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6" name="Straight Connector 1415">
            <a:extLst>
              <a:ext uri="{FF2B5EF4-FFF2-40B4-BE49-F238E27FC236}">
                <a16:creationId xmlns:a16="http://schemas.microsoft.com/office/drawing/2014/main" id="{C6DD7B4F-A6FC-4ECD-9012-A878165A0A87}"/>
              </a:ext>
            </a:extLst>
          </xdr:cNvPr>
          <xdr:cNvCxnSpPr/>
        </xdr:nvCxnSpPr>
        <xdr:spPr>
          <a:xfrm>
            <a:off x="6638926" y="165735000"/>
            <a:ext cx="0" cy="1000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9" name="Straight Connector 1418">
            <a:extLst>
              <a:ext uri="{FF2B5EF4-FFF2-40B4-BE49-F238E27FC236}">
                <a16:creationId xmlns:a16="http://schemas.microsoft.com/office/drawing/2014/main" id="{8358515F-DDB0-44F4-8EE8-8593C6F362A4}"/>
              </a:ext>
            </a:extLst>
          </xdr:cNvPr>
          <xdr:cNvCxnSpPr/>
        </xdr:nvCxnSpPr>
        <xdr:spPr>
          <a:xfrm flipH="1">
            <a:off x="6605587" y="165782622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3" name="Straight Connector 1422">
            <a:extLst>
              <a:ext uri="{FF2B5EF4-FFF2-40B4-BE49-F238E27FC236}">
                <a16:creationId xmlns:a16="http://schemas.microsoft.com/office/drawing/2014/main" id="{7BF1388B-626F-4C62-8D1D-1ECB6772DA3C}"/>
              </a:ext>
            </a:extLst>
          </xdr:cNvPr>
          <xdr:cNvCxnSpPr/>
        </xdr:nvCxnSpPr>
        <xdr:spPr>
          <a:xfrm>
            <a:off x="5481638" y="166668451"/>
            <a:ext cx="1214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5" name="Straight Connector 1424">
            <a:extLst>
              <a:ext uri="{FF2B5EF4-FFF2-40B4-BE49-F238E27FC236}">
                <a16:creationId xmlns:a16="http://schemas.microsoft.com/office/drawing/2014/main" id="{87A1E5F9-8475-4F65-B40B-8E646D21E47F}"/>
              </a:ext>
            </a:extLst>
          </xdr:cNvPr>
          <xdr:cNvCxnSpPr/>
        </xdr:nvCxnSpPr>
        <xdr:spPr>
          <a:xfrm flipH="1">
            <a:off x="6605589" y="166639875"/>
            <a:ext cx="61912" cy="6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1156</xdr:row>
      <xdr:rowOff>61912</xdr:rowOff>
    </xdr:from>
    <xdr:to>
      <xdr:col>31</xdr:col>
      <xdr:colOff>9525</xdr:colOff>
      <xdr:row>1177</xdr:row>
      <xdr:rowOff>66675</xdr:rowOff>
    </xdr:to>
    <xdr:grpSp>
      <xdr:nvGrpSpPr>
        <xdr:cNvPr id="2185" name="Group 2184">
          <a:extLst>
            <a:ext uri="{FF2B5EF4-FFF2-40B4-BE49-F238E27FC236}">
              <a16:creationId xmlns:a16="http://schemas.microsoft.com/office/drawing/2014/main" id="{B3B4C223-88FB-B7DE-B805-27629518D1C9}"/>
            </a:ext>
          </a:extLst>
        </xdr:cNvPr>
        <xdr:cNvGrpSpPr/>
      </xdr:nvGrpSpPr>
      <xdr:grpSpPr>
        <a:xfrm>
          <a:off x="800100" y="168740137"/>
          <a:ext cx="4229100" cy="3005138"/>
          <a:chOff x="800100" y="168740137"/>
          <a:chExt cx="4229100" cy="3005138"/>
        </a:xfrm>
      </xdr:grpSpPr>
      <xdr:sp macro="" textlink="">
        <xdr:nvSpPr>
          <xdr:cNvPr id="34" name="Freeform: Shape 33">
            <a:extLst>
              <a:ext uri="{FF2B5EF4-FFF2-40B4-BE49-F238E27FC236}">
                <a16:creationId xmlns:a16="http://schemas.microsoft.com/office/drawing/2014/main" id="{71CC4198-CAC7-E4E1-C44D-D2C3D23A8212}"/>
              </a:ext>
            </a:extLst>
          </xdr:cNvPr>
          <xdr:cNvSpPr/>
        </xdr:nvSpPr>
        <xdr:spPr>
          <a:xfrm>
            <a:off x="1285876" y="169106850"/>
            <a:ext cx="3257550" cy="1543050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97F0553F-44A0-4FFB-BABF-DFCFA7F3A84B}"/>
              </a:ext>
            </a:extLst>
          </xdr:cNvPr>
          <xdr:cNvSpPr/>
        </xdr:nvSpPr>
        <xdr:spPr>
          <a:xfrm>
            <a:off x="1138238" y="1706832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3" name="Oval 322">
            <a:extLst>
              <a:ext uri="{FF2B5EF4-FFF2-40B4-BE49-F238E27FC236}">
                <a16:creationId xmlns:a16="http://schemas.microsoft.com/office/drawing/2014/main" id="{A550AD89-FAE1-4958-9479-8388F21557E2}"/>
              </a:ext>
            </a:extLst>
          </xdr:cNvPr>
          <xdr:cNvSpPr/>
        </xdr:nvSpPr>
        <xdr:spPr>
          <a:xfrm>
            <a:off x="1243014" y="1705689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1A299B6C-8BC6-40B3-823B-7C801DCC7B2A}"/>
              </a:ext>
            </a:extLst>
          </xdr:cNvPr>
          <xdr:cNvCxnSpPr/>
        </xdr:nvCxnSpPr>
        <xdr:spPr>
          <a:xfrm>
            <a:off x="1133475" y="1706784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Arrow Connector 527">
            <a:extLst>
              <a:ext uri="{FF2B5EF4-FFF2-40B4-BE49-F238E27FC236}">
                <a16:creationId xmlns:a16="http://schemas.microsoft.com/office/drawing/2014/main" id="{BDF94766-AFAF-4D4E-9AB5-CE234BE6DFBA}"/>
              </a:ext>
            </a:extLst>
          </xdr:cNvPr>
          <xdr:cNvCxnSpPr/>
        </xdr:nvCxnSpPr>
        <xdr:spPr>
          <a:xfrm flipV="1">
            <a:off x="1295400" y="1708022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Arrow Connector 529">
            <a:extLst>
              <a:ext uri="{FF2B5EF4-FFF2-40B4-BE49-F238E27FC236}">
                <a16:creationId xmlns:a16="http://schemas.microsoft.com/office/drawing/2014/main" id="{F248F0E5-D518-4628-8662-2890E5E38573}"/>
              </a:ext>
            </a:extLst>
          </xdr:cNvPr>
          <xdr:cNvCxnSpPr/>
        </xdr:nvCxnSpPr>
        <xdr:spPr>
          <a:xfrm flipH="1">
            <a:off x="800100" y="170683232"/>
            <a:ext cx="319088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DF7C5E9E-7623-4FF2-ABB5-46CA62A5DA83}"/>
              </a:ext>
            </a:extLst>
          </xdr:cNvPr>
          <xdr:cNvSpPr/>
        </xdr:nvSpPr>
        <xdr:spPr>
          <a:xfrm>
            <a:off x="4376738" y="1706832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1" name="Oval 560">
            <a:extLst>
              <a:ext uri="{FF2B5EF4-FFF2-40B4-BE49-F238E27FC236}">
                <a16:creationId xmlns:a16="http://schemas.microsoft.com/office/drawing/2014/main" id="{29639B30-79F1-454B-AEF7-F1CDB6DB7771}"/>
              </a:ext>
            </a:extLst>
          </xdr:cNvPr>
          <xdr:cNvSpPr/>
        </xdr:nvSpPr>
        <xdr:spPr>
          <a:xfrm>
            <a:off x="4481514" y="1705689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E6734A49-8812-4BBE-B1CC-20CF75E47577}"/>
              </a:ext>
            </a:extLst>
          </xdr:cNvPr>
          <xdr:cNvCxnSpPr/>
        </xdr:nvCxnSpPr>
        <xdr:spPr>
          <a:xfrm>
            <a:off x="4371975" y="1706784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Arrow Connector 589">
            <a:extLst>
              <a:ext uri="{FF2B5EF4-FFF2-40B4-BE49-F238E27FC236}">
                <a16:creationId xmlns:a16="http://schemas.microsoft.com/office/drawing/2014/main" id="{AF22F118-535E-470C-A386-94464AA6524A}"/>
              </a:ext>
            </a:extLst>
          </xdr:cNvPr>
          <xdr:cNvCxnSpPr/>
        </xdr:nvCxnSpPr>
        <xdr:spPr>
          <a:xfrm flipV="1">
            <a:off x="4533900" y="1708022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E54456B8-4AC2-59EE-BFC1-25E5D889B753}"/>
              </a:ext>
            </a:extLst>
          </xdr:cNvPr>
          <xdr:cNvCxnSpPr/>
        </xdr:nvCxnSpPr>
        <xdr:spPr>
          <a:xfrm>
            <a:off x="1290642" y="168963980"/>
            <a:ext cx="324802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Straight Arrow Connector 614">
            <a:extLst>
              <a:ext uri="{FF2B5EF4-FFF2-40B4-BE49-F238E27FC236}">
                <a16:creationId xmlns:a16="http://schemas.microsoft.com/office/drawing/2014/main" id="{91010D87-C55D-AA49-4EF3-4B4FB0761DB1}"/>
              </a:ext>
            </a:extLst>
          </xdr:cNvPr>
          <xdr:cNvCxnSpPr/>
        </xdr:nvCxnSpPr>
        <xdr:spPr>
          <a:xfrm>
            <a:off x="1295400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D6CFA483-E645-4147-BCA0-EFE2F4BF53D7}"/>
              </a:ext>
            </a:extLst>
          </xdr:cNvPr>
          <xdr:cNvCxnSpPr/>
        </xdr:nvCxnSpPr>
        <xdr:spPr>
          <a:xfrm>
            <a:off x="1295400" y="168740137"/>
            <a:ext cx="324802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Arrow Connector 620">
            <a:extLst>
              <a:ext uri="{FF2B5EF4-FFF2-40B4-BE49-F238E27FC236}">
                <a16:creationId xmlns:a16="http://schemas.microsoft.com/office/drawing/2014/main" id="{63B5BED0-00F2-4BE2-8CFC-CC7C2431F498}"/>
              </a:ext>
            </a:extLst>
          </xdr:cNvPr>
          <xdr:cNvCxnSpPr/>
        </xdr:nvCxnSpPr>
        <xdr:spPr>
          <a:xfrm>
            <a:off x="1457326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Arrow Connector 621">
            <a:extLst>
              <a:ext uri="{FF2B5EF4-FFF2-40B4-BE49-F238E27FC236}">
                <a16:creationId xmlns:a16="http://schemas.microsoft.com/office/drawing/2014/main" id="{49E5D66B-F6CA-4780-8B28-1C4744892D24}"/>
              </a:ext>
            </a:extLst>
          </xdr:cNvPr>
          <xdr:cNvCxnSpPr/>
        </xdr:nvCxnSpPr>
        <xdr:spPr>
          <a:xfrm>
            <a:off x="1619251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Arrow Connector 657">
            <a:extLst>
              <a:ext uri="{FF2B5EF4-FFF2-40B4-BE49-F238E27FC236}">
                <a16:creationId xmlns:a16="http://schemas.microsoft.com/office/drawing/2014/main" id="{28858730-74E0-46EB-9F7E-372C8AABF076}"/>
              </a:ext>
            </a:extLst>
          </xdr:cNvPr>
          <xdr:cNvCxnSpPr/>
        </xdr:nvCxnSpPr>
        <xdr:spPr>
          <a:xfrm>
            <a:off x="1781175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Arrow Connector 658">
            <a:extLst>
              <a:ext uri="{FF2B5EF4-FFF2-40B4-BE49-F238E27FC236}">
                <a16:creationId xmlns:a16="http://schemas.microsoft.com/office/drawing/2014/main" id="{BE597D2A-F420-43CD-AE05-D87B1D68F3A4}"/>
              </a:ext>
            </a:extLst>
          </xdr:cNvPr>
          <xdr:cNvCxnSpPr/>
        </xdr:nvCxnSpPr>
        <xdr:spPr>
          <a:xfrm>
            <a:off x="1943101" y="1687401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Arrow Connector 662">
            <a:extLst>
              <a:ext uri="{FF2B5EF4-FFF2-40B4-BE49-F238E27FC236}">
                <a16:creationId xmlns:a16="http://schemas.microsoft.com/office/drawing/2014/main" id="{EEAE452B-6268-4433-80F9-5658BD0A1CAE}"/>
              </a:ext>
            </a:extLst>
          </xdr:cNvPr>
          <xdr:cNvCxnSpPr/>
        </xdr:nvCxnSpPr>
        <xdr:spPr>
          <a:xfrm>
            <a:off x="2105025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Arrow Connector 664">
            <a:extLst>
              <a:ext uri="{FF2B5EF4-FFF2-40B4-BE49-F238E27FC236}">
                <a16:creationId xmlns:a16="http://schemas.microsoft.com/office/drawing/2014/main" id="{366ECC67-43C8-4AF9-A2EB-7F07A9101E14}"/>
              </a:ext>
            </a:extLst>
          </xdr:cNvPr>
          <xdr:cNvCxnSpPr/>
        </xdr:nvCxnSpPr>
        <xdr:spPr>
          <a:xfrm>
            <a:off x="2266951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Straight Arrow Connector 666">
            <a:extLst>
              <a:ext uri="{FF2B5EF4-FFF2-40B4-BE49-F238E27FC236}">
                <a16:creationId xmlns:a16="http://schemas.microsoft.com/office/drawing/2014/main" id="{D93F023C-7F7D-42A8-B9C6-61EB106BE31E}"/>
              </a:ext>
            </a:extLst>
          </xdr:cNvPr>
          <xdr:cNvCxnSpPr/>
        </xdr:nvCxnSpPr>
        <xdr:spPr>
          <a:xfrm>
            <a:off x="2428876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Straight Arrow Connector 668">
            <a:extLst>
              <a:ext uri="{FF2B5EF4-FFF2-40B4-BE49-F238E27FC236}">
                <a16:creationId xmlns:a16="http://schemas.microsoft.com/office/drawing/2014/main" id="{07FF3D71-161A-465A-BB82-D3E74090C51B}"/>
              </a:ext>
            </a:extLst>
          </xdr:cNvPr>
          <xdr:cNvCxnSpPr/>
        </xdr:nvCxnSpPr>
        <xdr:spPr>
          <a:xfrm>
            <a:off x="2590800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Straight Arrow Connector 671">
            <a:extLst>
              <a:ext uri="{FF2B5EF4-FFF2-40B4-BE49-F238E27FC236}">
                <a16:creationId xmlns:a16="http://schemas.microsoft.com/office/drawing/2014/main" id="{833A07EA-62BD-4CD8-8BE4-11D63B72C220}"/>
              </a:ext>
            </a:extLst>
          </xdr:cNvPr>
          <xdr:cNvCxnSpPr/>
        </xdr:nvCxnSpPr>
        <xdr:spPr>
          <a:xfrm>
            <a:off x="2752726" y="1687401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Arrow Connector 796">
            <a:extLst>
              <a:ext uri="{FF2B5EF4-FFF2-40B4-BE49-F238E27FC236}">
                <a16:creationId xmlns:a16="http://schemas.microsoft.com/office/drawing/2014/main" id="{8DD69071-202E-498A-9337-3926AF8C80A0}"/>
              </a:ext>
            </a:extLst>
          </xdr:cNvPr>
          <xdr:cNvCxnSpPr/>
        </xdr:nvCxnSpPr>
        <xdr:spPr>
          <a:xfrm>
            <a:off x="2914651" y="16874014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Arrow Connector 814">
            <a:extLst>
              <a:ext uri="{FF2B5EF4-FFF2-40B4-BE49-F238E27FC236}">
                <a16:creationId xmlns:a16="http://schemas.microsoft.com/office/drawing/2014/main" id="{81E6B4D8-16EC-4A34-8737-75E6E8E1F571}"/>
              </a:ext>
            </a:extLst>
          </xdr:cNvPr>
          <xdr:cNvCxnSpPr/>
        </xdr:nvCxnSpPr>
        <xdr:spPr>
          <a:xfrm>
            <a:off x="3076576" y="16874014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Arrow Connector 815">
            <a:extLst>
              <a:ext uri="{FF2B5EF4-FFF2-40B4-BE49-F238E27FC236}">
                <a16:creationId xmlns:a16="http://schemas.microsoft.com/office/drawing/2014/main" id="{B19ED9F7-BAEB-4A42-800C-C33CF3355C8D}"/>
              </a:ext>
            </a:extLst>
          </xdr:cNvPr>
          <xdr:cNvCxnSpPr/>
        </xdr:nvCxnSpPr>
        <xdr:spPr>
          <a:xfrm>
            <a:off x="3238500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Arrow Connector 816">
            <a:extLst>
              <a:ext uri="{FF2B5EF4-FFF2-40B4-BE49-F238E27FC236}">
                <a16:creationId xmlns:a16="http://schemas.microsoft.com/office/drawing/2014/main" id="{CAD08C6A-97E9-41CA-A528-B64338B8C463}"/>
              </a:ext>
            </a:extLst>
          </xdr:cNvPr>
          <xdr:cNvCxnSpPr/>
        </xdr:nvCxnSpPr>
        <xdr:spPr>
          <a:xfrm>
            <a:off x="3400426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" name="Straight Arrow Connector 817">
            <a:extLst>
              <a:ext uri="{FF2B5EF4-FFF2-40B4-BE49-F238E27FC236}">
                <a16:creationId xmlns:a16="http://schemas.microsoft.com/office/drawing/2014/main" id="{88FADED1-53F6-441A-8A0E-22ED45D892AD}"/>
              </a:ext>
            </a:extLst>
          </xdr:cNvPr>
          <xdr:cNvCxnSpPr/>
        </xdr:nvCxnSpPr>
        <xdr:spPr>
          <a:xfrm>
            <a:off x="3562350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" name="Straight Arrow Connector 818">
            <a:extLst>
              <a:ext uri="{FF2B5EF4-FFF2-40B4-BE49-F238E27FC236}">
                <a16:creationId xmlns:a16="http://schemas.microsoft.com/office/drawing/2014/main" id="{67D1F37D-9CF1-4004-B00A-F7C4FB2F3C23}"/>
              </a:ext>
            </a:extLst>
          </xdr:cNvPr>
          <xdr:cNvCxnSpPr/>
        </xdr:nvCxnSpPr>
        <xdr:spPr>
          <a:xfrm>
            <a:off x="3724276" y="16874014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Straight Arrow Connector 819">
            <a:extLst>
              <a:ext uri="{FF2B5EF4-FFF2-40B4-BE49-F238E27FC236}">
                <a16:creationId xmlns:a16="http://schemas.microsoft.com/office/drawing/2014/main" id="{EA191008-2F15-4B5A-9518-0C2EBA450627}"/>
              </a:ext>
            </a:extLst>
          </xdr:cNvPr>
          <xdr:cNvCxnSpPr/>
        </xdr:nvCxnSpPr>
        <xdr:spPr>
          <a:xfrm>
            <a:off x="3886201" y="16874014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Arrow Connector 821">
            <a:extLst>
              <a:ext uri="{FF2B5EF4-FFF2-40B4-BE49-F238E27FC236}">
                <a16:creationId xmlns:a16="http://schemas.microsoft.com/office/drawing/2014/main" id="{1768388C-00EA-4F3F-BFD8-F2A293D79F01}"/>
              </a:ext>
            </a:extLst>
          </xdr:cNvPr>
          <xdr:cNvCxnSpPr/>
        </xdr:nvCxnSpPr>
        <xdr:spPr>
          <a:xfrm>
            <a:off x="4048125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Arrow Connector 826">
            <a:extLst>
              <a:ext uri="{FF2B5EF4-FFF2-40B4-BE49-F238E27FC236}">
                <a16:creationId xmlns:a16="http://schemas.microsoft.com/office/drawing/2014/main" id="{69628294-E6C7-4CDE-9EFA-DDE2AC51B2F1}"/>
              </a:ext>
            </a:extLst>
          </xdr:cNvPr>
          <xdr:cNvCxnSpPr/>
        </xdr:nvCxnSpPr>
        <xdr:spPr>
          <a:xfrm>
            <a:off x="4210051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Arrow Connector 827">
            <a:extLst>
              <a:ext uri="{FF2B5EF4-FFF2-40B4-BE49-F238E27FC236}">
                <a16:creationId xmlns:a16="http://schemas.microsoft.com/office/drawing/2014/main" id="{758A48D5-2B9D-4321-A93F-E9FC16B42FFE}"/>
              </a:ext>
            </a:extLst>
          </xdr:cNvPr>
          <xdr:cNvCxnSpPr/>
        </xdr:nvCxnSpPr>
        <xdr:spPr>
          <a:xfrm>
            <a:off x="4371974" y="168740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Arrow Connector 962">
            <a:extLst>
              <a:ext uri="{FF2B5EF4-FFF2-40B4-BE49-F238E27FC236}">
                <a16:creationId xmlns:a16="http://schemas.microsoft.com/office/drawing/2014/main" id="{F8F1DA3D-7D31-4655-81A0-6169A30B27B6}"/>
              </a:ext>
            </a:extLst>
          </xdr:cNvPr>
          <xdr:cNvCxnSpPr/>
        </xdr:nvCxnSpPr>
        <xdr:spPr>
          <a:xfrm>
            <a:off x="4533900" y="168740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Straight Connector 992">
            <a:extLst>
              <a:ext uri="{FF2B5EF4-FFF2-40B4-BE49-F238E27FC236}">
                <a16:creationId xmlns:a16="http://schemas.microsoft.com/office/drawing/2014/main" id="{FBBD272B-A4BF-6EE9-258D-46C6BB5A8486}"/>
              </a:ext>
            </a:extLst>
          </xdr:cNvPr>
          <xdr:cNvCxnSpPr/>
        </xdr:nvCxnSpPr>
        <xdr:spPr>
          <a:xfrm>
            <a:off x="1295401" y="1712595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Connector 1015">
            <a:extLst>
              <a:ext uri="{FF2B5EF4-FFF2-40B4-BE49-F238E27FC236}">
                <a16:creationId xmlns:a16="http://schemas.microsoft.com/office/drawing/2014/main" id="{586C4CBE-D6B4-186F-090E-B984F5842675}"/>
              </a:ext>
            </a:extLst>
          </xdr:cNvPr>
          <xdr:cNvCxnSpPr/>
        </xdr:nvCxnSpPr>
        <xdr:spPr>
          <a:xfrm>
            <a:off x="1219198" y="17139285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Connector 1056">
            <a:extLst>
              <a:ext uri="{FF2B5EF4-FFF2-40B4-BE49-F238E27FC236}">
                <a16:creationId xmlns:a16="http://schemas.microsoft.com/office/drawing/2014/main" id="{95B17388-5975-F61A-6D0F-C8FF5D87BD5A}"/>
              </a:ext>
            </a:extLst>
          </xdr:cNvPr>
          <xdr:cNvCxnSpPr/>
        </xdr:nvCxnSpPr>
        <xdr:spPr>
          <a:xfrm flipH="1">
            <a:off x="1252538" y="171354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Connector 1098">
            <a:extLst>
              <a:ext uri="{FF2B5EF4-FFF2-40B4-BE49-F238E27FC236}">
                <a16:creationId xmlns:a16="http://schemas.microsoft.com/office/drawing/2014/main" id="{7EB3818D-52A3-47CC-B3FA-FA40024DDA17}"/>
              </a:ext>
            </a:extLst>
          </xdr:cNvPr>
          <xdr:cNvCxnSpPr/>
        </xdr:nvCxnSpPr>
        <xdr:spPr>
          <a:xfrm>
            <a:off x="1219194" y="17167860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35905F78-102B-428D-9F76-1328177EFD84}"/>
              </a:ext>
            </a:extLst>
          </xdr:cNvPr>
          <xdr:cNvCxnSpPr/>
        </xdr:nvCxnSpPr>
        <xdr:spPr>
          <a:xfrm flipH="1">
            <a:off x="1252534" y="1716405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ACC2F154-B7CB-4F85-88AD-DE9AD35E81A5}"/>
              </a:ext>
            </a:extLst>
          </xdr:cNvPr>
          <xdr:cNvCxnSpPr/>
        </xdr:nvCxnSpPr>
        <xdr:spPr>
          <a:xfrm>
            <a:off x="2914652" y="170973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Connector 1161">
            <a:extLst>
              <a:ext uri="{FF2B5EF4-FFF2-40B4-BE49-F238E27FC236}">
                <a16:creationId xmlns:a16="http://schemas.microsoft.com/office/drawing/2014/main" id="{F69FA662-B633-4008-88EA-4098F451855F}"/>
              </a:ext>
            </a:extLst>
          </xdr:cNvPr>
          <xdr:cNvCxnSpPr/>
        </xdr:nvCxnSpPr>
        <xdr:spPr>
          <a:xfrm flipH="1">
            <a:off x="2871785" y="171354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3F403778-82C3-4F37-8EAA-EA888ED60E7C}"/>
              </a:ext>
            </a:extLst>
          </xdr:cNvPr>
          <xdr:cNvCxnSpPr/>
        </xdr:nvCxnSpPr>
        <xdr:spPr>
          <a:xfrm>
            <a:off x="4533901" y="1712595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1" name="Straight Connector 1180">
            <a:extLst>
              <a:ext uri="{FF2B5EF4-FFF2-40B4-BE49-F238E27FC236}">
                <a16:creationId xmlns:a16="http://schemas.microsoft.com/office/drawing/2014/main" id="{A864AFF8-A4F0-4681-BD07-D41416BE2178}"/>
              </a:ext>
            </a:extLst>
          </xdr:cNvPr>
          <xdr:cNvCxnSpPr/>
        </xdr:nvCxnSpPr>
        <xdr:spPr>
          <a:xfrm flipH="1">
            <a:off x="4491038" y="171354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58FCBDB9-DD17-41FA-960E-D8E81234FE43}"/>
              </a:ext>
            </a:extLst>
          </xdr:cNvPr>
          <xdr:cNvCxnSpPr/>
        </xdr:nvCxnSpPr>
        <xdr:spPr>
          <a:xfrm flipH="1">
            <a:off x="4491034" y="1716405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7" name="Straight Arrow Connector 1196">
            <a:extLst>
              <a:ext uri="{FF2B5EF4-FFF2-40B4-BE49-F238E27FC236}">
                <a16:creationId xmlns:a16="http://schemas.microsoft.com/office/drawing/2014/main" id="{BFB78BB8-1760-4FA7-8251-F6CBF0A7EC2A}"/>
              </a:ext>
            </a:extLst>
          </xdr:cNvPr>
          <xdr:cNvCxnSpPr/>
        </xdr:nvCxnSpPr>
        <xdr:spPr>
          <a:xfrm>
            <a:off x="4714876" y="170673713"/>
            <a:ext cx="314324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0" name="Straight Connector 1209">
            <a:extLst>
              <a:ext uri="{FF2B5EF4-FFF2-40B4-BE49-F238E27FC236}">
                <a16:creationId xmlns:a16="http://schemas.microsoft.com/office/drawing/2014/main" id="{6DEEB690-4470-FE0E-6F32-B31C060B2C43}"/>
              </a:ext>
            </a:extLst>
          </xdr:cNvPr>
          <xdr:cNvCxnSpPr/>
        </xdr:nvCxnSpPr>
        <xdr:spPr>
          <a:xfrm>
            <a:off x="3095625" y="169106850"/>
            <a:ext cx="1838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4" name="Straight Connector 1213">
            <a:extLst>
              <a:ext uri="{FF2B5EF4-FFF2-40B4-BE49-F238E27FC236}">
                <a16:creationId xmlns:a16="http://schemas.microsoft.com/office/drawing/2014/main" id="{2C531371-C8F8-094D-DAE0-7BCE4FB9335F}"/>
              </a:ext>
            </a:extLst>
          </xdr:cNvPr>
          <xdr:cNvCxnSpPr/>
        </xdr:nvCxnSpPr>
        <xdr:spPr>
          <a:xfrm>
            <a:off x="4857750" y="169035413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4" name="Straight Connector 1333">
            <a:extLst>
              <a:ext uri="{FF2B5EF4-FFF2-40B4-BE49-F238E27FC236}">
                <a16:creationId xmlns:a16="http://schemas.microsoft.com/office/drawing/2014/main" id="{F0E91571-0F0A-4313-99D5-F20E917703D1}"/>
              </a:ext>
            </a:extLst>
          </xdr:cNvPr>
          <xdr:cNvCxnSpPr/>
        </xdr:nvCxnSpPr>
        <xdr:spPr>
          <a:xfrm flipH="1">
            <a:off x="4814887" y="16906875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Connector 1373">
            <a:extLst>
              <a:ext uri="{FF2B5EF4-FFF2-40B4-BE49-F238E27FC236}">
                <a16:creationId xmlns:a16="http://schemas.microsoft.com/office/drawing/2014/main" id="{782E2CBC-E99B-4822-8167-C0C48575FA4D}"/>
              </a:ext>
            </a:extLst>
          </xdr:cNvPr>
          <xdr:cNvCxnSpPr/>
        </xdr:nvCxnSpPr>
        <xdr:spPr>
          <a:xfrm flipH="1">
            <a:off x="4810124" y="17063561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90487</xdr:colOff>
      <xdr:row>1157</xdr:row>
      <xdr:rowOff>22470</xdr:rowOff>
    </xdr:from>
    <xdr:to>
      <xdr:col>61</xdr:col>
      <xdr:colOff>71431</xdr:colOff>
      <xdr:row>1170</xdr:row>
      <xdr:rowOff>0</xdr:rowOff>
    </xdr:to>
    <xdr:grpSp>
      <xdr:nvGrpSpPr>
        <xdr:cNvPr id="2186" name="Group 2185">
          <a:extLst>
            <a:ext uri="{FF2B5EF4-FFF2-40B4-BE49-F238E27FC236}">
              <a16:creationId xmlns:a16="http://schemas.microsoft.com/office/drawing/2014/main" id="{617FB7A1-40FF-9601-F8E4-7E0CE89D008F}"/>
            </a:ext>
          </a:extLst>
        </xdr:cNvPr>
        <xdr:cNvGrpSpPr/>
      </xdr:nvGrpSpPr>
      <xdr:grpSpPr>
        <a:xfrm>
          <a:off x="6567487" y="168843570"/>
          <a:ext cx="3381369" cy="1834905"/>
          <a:chOff x="6567487" y="168843570"/>
          <a:chExt cx="3381369" cy="1834905"/>
        </a:xfrm>
      </xdr:grpSpPr>
      <xdr:sp macro="" textlink="">
        <xdr:nvSpPr>
          <xdr:cNvPr id="1379" name="Freeform: Shape 1378">
            <a:extLst>
              <a:ext uri="{FF2B5EF4-FFF2-40B4-BE49-F238E27FC236}">
                <a16:creationId xmlns:a16="http://schemas.microsoft.com/office/drawing/2014/main" id="{78BC0761-8A2B-423C-8CE6-E1214984884D}"/>
              </a:ext>
            </a:extLst>
          </xdr:cNvPr>
          <xdr:cNvSpPr/>
        </xdr:nvSpPr>
        <xdr:spPr>
          <a:xfrm>
            <a:off x="6634162" y="169111613"/>
            <a:ext cx="3257550" cy="1566862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09" name="Straight Connector 1408">
            <a:extLst>
              <a:ext uri="{FF2B5EF4-FFF2-40B4-BE49-F238E27FC236}">
                <a16:creationId xmlns:a16="http://schemas.microsoft.com/office/drawing/2014/main" id="{6D0E0383-BF0C-2AF1-2ED6-DDD24B0B32CC}"/>
              </a:ext>
            </a:extLst>
          </xdr:cNvPr>
          <xdr:cNvCxnSpPr/>
        </xdr:nvCxnSpPr>
        <xdr:spPr>
          <a:xfrm flipH="1" flipV="1">
            <a:off x="8000929" y="168844796"/>
            <a:ext cx="268404" cy="27794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8" name="Straight Connector 1427">
            <a:extLst>
              <a:ext uri="{FF2B5EF4-FFF2-40B4-BE49-F238E27FC236}">
                <a16:creationId xmlns:a16="http://schemas.microsoft.com/office/drawing/2014/main" id="{C73A1243-B8CE-61D3-D532-0F7F2C91CCC9}"/>
              </a:ext>
            </a:extLst>
          </xdr:cNvPr>
          <xdr:cNvCxnSpPr/>
        </xdr:nvCxnSpPr>
        <xdr:spPr>
          <a:xfrm flipH="1">
            <a:off x="8255076" y="168843570"/>
            <a:ext cx="273946" cy="28367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1" name="Straight Connector 1430">
            <a:extLst>
              <a:ext uri="{FF2B5EF4-FFF2-40B4-BE49-F238E27FC236}">
                <a16:creationId xmlns:a16="http://schemas.microsoft.com/office/drawing/2014/main" id="{00CA731F-07C4-9C43-02AB-AFF4404CF948}"/>
              </a:ext>
            </a:extLst>
          </xdr:cNvPr>
          <xdr:cNvCxnSpPr/>
        </xdr:nvCxnSpPr>
        <xdr:spPr>
          <a:xfrm>
            <a:off x="6567487" y="169392600"/>
            <a:ext cx="12906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34" name="Freeform: Shape 1433">
            <a:extLst>
              <a:ext uri="{FF2B5EF4-FFF2-40B4-BE49-F238E27FC236}">
                <a16:creationId xmlns:a16="http://schemas.microsoft.com/office/drawing/2014/main" id="{E8DFC0A4-60A0-58DC-6764-12C552E5A0FE}"/>
              </a:ext>
            </a:extLst>
          </xdr:cNvPr>
          <xdr:cNvSpPr/>
        </xdr:nvSpPr>
        <xdr:spPr>
          <a:xfrm>
            <a:off x="6634163" y="168854438"/>
            <a:ext cx="1376362" cy="1824037"/>
          </a:xfrm>
          <a:custGeom>
            <a:avLst/>
            <a:gdLst>
              <a:gd name="connsiteX0" fmla="*/ 0 w 1376362"/>
              <a:gd name="connsiteY0" fmla="*/ 1824037 h 1824037"/>
              <a:gd name="connsiteX1" fmla="*/ 1147762 w 1376362"/>
              <a:gd name="connsiteY1" fmla="*/ 1262062 h 1824037"/>
              <a:gd name="connsiteX2" fmla="*/ 1376362 w 1376362"/>
              <a:gd name="connsiteY2" fmla="*/ 0 h 18240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76362" h="1824037">
                <a:moveTo>
                  <a:pt x="0" y="1824037"/>
                </a:moveTo>
                <a:cubicBezTo>
                  <a:pt x="459184" y="1695052"/>
                  <a:pt x="918368" y="1566068"/>
                  <a:pt x="1147762" y="1262062"/>
                </a:cubicBezTo>
                <a:cubicBezTo>
                  <a:pt x="1377156" y="958056"/>
                  <a:pt x="1376362" y="0"/>
                  <a:pt x="1376362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35" name="Freeform: Shape 1434">
            <a:extLst>
              <a:ext uri="{FF2B5EF4-FFF2-40B4-BE49-F238E27FC236}">
                <a16:creationId xmlns:a16="http://schemas.microsoft.com/office/drawing/2014/main" id="{5AAE2937-B5F6-1979-AAB7-16784AE29AAA}"/>
              </a:ext>
            </a:extLst>
          </xdr:cNvPr>
          <xdr:cNvSpPr/>
        </xdr:nvSpPr>
        <xdr:spPr>
          <a:xfrm>
            <a:off x="8530319" y="168849675"/>
            <a:ext cx="1351869" cy="1828800"/>
          </a:xfrm>
          <a:custGeom>
            <a:avLst/>
            <a:gdLst>
              <a:gd name="connsiteX0" fmla="*/ 4081 w 1351869"/>
              <a:gd name="connsiteY0" fmla="*/ 0 h 1828800"/>
              <a:gd name="connsiteX1" fmla="*/ 208869 w 1351869"/>
              <a:gd name="connsiteY1" fmla="*/ 1262063 h 1828800"/>
              <a:gd name="connsiteX2" fmla="*/ 1351869 w 1351869"/>
              <a:gd name="connsiteY2" fmla="*/ 1828800 h 1828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51869" h="1828800">
                <a:moveTo>
                  <a:pt x="4081" y="0"/>
                </a:moveTo>
                <a:cubicBezTo>
                  <a:pt x="-5841" y="478631"/>
                  <a:pt x="-15762" y="957263"/>
                  <a:pt x="208869" y="1262063"/>
                </a:cubicBezTo>
                <a:cubicBezTo>
                  <a:pt x="433500" y="1566863"/>
                  <a:pt x="892684" y="1697831"/>
                  <a:pt x="1351869" y="182880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38" name="Straight Connector 1437">
            <a:extLst>
              <a:ext uri="{FF2B5EF4-FFF2-40B4-BE49-F238E27FC236}">
                <a16:creationId xmlns:a16="http://schemas.microsoft.com/office/drawing/2014/main" id="{DD0920D2-1C41-BD6A-DE8B-E81DDC8EC1BB}"/>
              </a:ext>
            </a:extLst>
          </xdr:cNvPr>
          <xdr:cNvCxnSpPr/>
        </xdr:nvCxnSpPr>
        <xdr:spPr>
          <a:xfrm flipV="1">
            <a:off x="7786687" y="169335450"/>
            <a:ext cx="0" cy="700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4" name="Straight Connector 1443">
            <a:extLst>
              <a:ext uri="{FF2B5EF4-FFF2-40B4-BE49-F238E27FC236}">
                <a16:creationId xmlns:a16="http://schemas.microsoft.com/office/drawing/2014/main" id="{A8D2996B-165C-4C8D-B71A-4E91A39EAA84}"/>
              </a:ext>
            </a:extLst>
          </xdr:cNvPr>
          <xdr:cNvCxnSpPr/>
        </xdr:nvCxnSpPr>
        <xdr:spPr>
          <a:xfrm flipH="1">
            <a:off x="7753350" y="169359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6" name="Straight Connector 1445">
            <a:extLst>
              <a:ext uri="{FF2B5EF4-FFF2-40B4-BE49-F238E27FC236}">
                <a16:creationId xmlns:a16="http://schemas.microsoft.com/office/drawing/2014/main" id="{A613A9D3-53D7-4E10-B1EF-7ABF1D6D18B2}"/>
              </a:ext>
            </a:extLst>
          </xdr:cNvPr>
          <xdr:cNvCxnSpPr/>
        </xdr:nvCxnSpPr>
        <xdr:spPr>
          <a:xfrm flipH="1" flipV="1">
            <a:off x="7510462" y="169835513"/>
            <a:ext cx="268404" cy="27794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7" name="Straight Connector 1446">
            <a:extLst>
              <a:ext uri="{FF2B5EF4-FFF2-40B4-BE49-F238E27FC236}">
                <a16:creationId xmlns:a16="http://schemas.microsoft.com/office/drawing/2014/main" id="{2C877F41-AEB0-45CC-BB93-26BC3E60FA48}"/>
              </a:ext>
            </a:extLst>
          </xdr:cNvPr>
          <xdr:cNvCxnSpPr/>
        </xdr:nvCxnSpPr>
        <xdr:spPr>
          <a:xfrm flipH="1">
            <a:off x="8764664" y="169843695"/>
            <a:ext cx="273946" cy="28367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9" name="Straight Connector 1448">
            <a:extLst>
              <a:ext uri="{FF2B5EF4-FFF2-40B4-BE49-F238E27FC236}">
                <a16:creationId xmlns:a16="http://schemas.microsoft.com/office/drawing/2014/main" id="{3D1DBBD4-DDB9-4A7D-9F3D-E2361463AB5B}"/>
              </a:ext>
            </a:extLst>
          </xdr:cNvPr>
          <xdr:cNvCxnSpPr/>
        </xdr:nvCxnSpPr>
        <xdr:spPr>
          <a:xfrm flipV="1">
            <a:off x="6638925" y="169335450"/>
            <a:ext cx="0" cy="1285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1" name="Straight Connector 1450">
            <a:extLst>
              <a:ext uri="{FF2B5EF4-FFF2-40B4-BE49-F238E27FC236}">
                <a16:creationId xmlns:a16="http://schemas.microsoft.com/office/drawing/2014/main" id="{E7EFEAFF-1672-488D-88A6-7516E55971DD}"/>
              </a:ext>
            </a:extLst>
          </xdr:cNvPr>
          <xdr:cNvCxnSpPr/>
        </xdr:nvCxnSpPr>
        <xdr:spPr>
          <a:xfrm flipH="1">
            <a:off x="6605588" y="169359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Connector 1456">
            <a:extLst>
              <a:ext uri="{FF2B5EF4-FFF2-40B4-BE49-F238E27FC236}">
                <a16:creationId xmlns:a16="http://schemas.microsoft.com/office/drawing/2014/main" id="{D094D147-B4B9-4C6E-8978-92431C4F2803}"/>
              </a:ext>
            </a:extLst>
          </xdr:cNvPr>
          <xdr:cNvCxnSpPr/>
        </xdr:nvCxnSpPr>
        <xdr:spPr>
          <a:xfrm>
            <a:off x="8696325" y="169392598"/>
            <a:ext cx="12525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Connector 1457">
            <a:extLst>
              <a:ext uri="{FF2B5EF4-FFF2-40B4-BE49-F238E27FC236}">
                <a16:creationId xmlns:a16="http://schemas.microsoft.com/office/drawing/2014/main" id="{B22C2444-952F-417E-95FE-64358A78B6D8}"/>
              </a:ext>
            </a:extLst>
          </xdr:cNvPr>
          <xdr:cNvCxnSpPr/>
        </xdr:nvCxnSpPr>
        <xdr:spPr>
          <a:xfrm flipV="1">
            <a:off x="9877418" y="169335448"/>
            <a:ext cx="0" cy="1204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Straight Connector 1463">
            <a:extLst>
              <a:ext uri="{FF2B5EF4-FFF2-40B4-BE49-F238E27FC236}">
                <a16:creationId xmlns:a16="http://schemas.microsoft.com/office/drawing/2014/main" id="{70208D16-EEB1-4880-B3D4-20C16EFE6436}"/>
              </a:ext>
            </a:extLst>
          </xdr:cNvPr>
          <xdr:cNvCxnSpPr/>
        </xdr:nvCxnSpPr>
        <xdr:spPr>
          <a:xfrm flipH="1">
            <a:off x="9844081" y="16935926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7" name="Straight Connector 1496">
            <a:extLst>
              <a:ext uri="{FF2B5EF4-FFF2-40B4-BE49-F238E27FC236}">
                <a16:creationId xmlns:a16="http://schemas.microsoft.com/office/drawing/2014/main" id="{5D8D194D-5C91-4AE6-B58A-BEEFE01A09E7}"/>
              </a:ext>
            </a:extLst>
          </xdr:cNvPr>
          <xdr:cNvCxnSpPr/>
        </xdr:nvCxnSpPr>
        <xdr:spPr>
          <a:xfrm flipH="1">
            <a:off x="8724895" y="16935926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Straight Connector 1499">
            <a:extLst>
              <a:ext uri="{FF2B5EF4-FFF2-40B4-BE49-F238E27FC236}">
                <a16:creationId xmlns:a16="http://schemas.microsoft.com/office/drawing/2014/main" id="{892E13A1-233C-4A2C-8759-020DA031C8AD}"/>
              </a:ext>
            </a:extLst>
          </xdr:cNvPr>
          <xdr:cNvCxnSpPr/>
        </xdr:nvCxnSpPr>
        <xdr:spPr>
          <a:xfrm flipV="1">
            <a:off x="8758240" y="169302113"/>
            <a:ext cx="0" cy="785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1180</xdr:row>
      <xdr:rowOff>61912</xdr:rowOff>
    </xdr:from>
    <xdr:to>
      <xdr:col>31</xdr:col>
      <xdr:colOff>9525</xdr:colOff>
      <xdr:row>1201</xdr:row>
      <xdr:rowOff>66675</xdr:rowOff>
    </xdr:to>
    <xdr:grpSp>
      <xdr:nvGrpSpPr>
        <xdr:cNvPr id="2187" name="Group 2186">
          <a:extLst>
            <a:ext uri="{FF2B5EF4-FFF2-40B4-BE49-F238E27FC236}">
              <a16:creationId xmlns:a16="http://schemas.microsoft.com/office/drawing/2014/main" id="{7960A190-149E-F803-157F-8E1B0A1628B9}"/>
            </a:ext>
          </a:extLst>
        </xdr:cNvPr>
        <xdr:cNvGrpSpPr/>
      </xdr:nvGrpSpPr>
      <xdr:grpSpPr>
        <a:xfrm>
          <a:off x="800100" y="172169137"/>
          <a:ext cx="4229100" cy="3005138"/>
          <a:chOff x="800100" y="172169137"/>
          <a:chExt cx="4229100" cy="3005138"/>
        </a:xfrm>
      </xdr:grpSpPr>
      <xdr:sp macro="" textlink="">
        <xdr:nvSpPr>
          <xdr:cNvPr id="1503" name="Freeform: Shape 1502">
            <a:extLst>
              <a:ext uri="{FF2B5EF4-FFF2-40B4-BE49-F238E27FC236}">
                <a16:creationId xmlns:a16="http://schemas.microsoft.com/office/drawing/2014/main" id="{7F4B6E43-916E-43A1-B1DA-29AFA1111FE7}"/>
              </a:ext>
            </a:extLst>
          </xdr:cNvPr>
          <xdr:cNvSpPr/>
        </xdr:nvSpPr>
        <xdr:spPr>
          <a:xfrm>
            <a:off x="1285876" y="172535850"/>
            <a:ext cx="3257550" cy="1543050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86F326E4-4748-43FF-9083-241F2919A06D}"/>
              </a:ext>
            </a:extLst>
          </xdr:cNvPr>
          <xdr:cNvSpPr/>
        </xdr:nvSpPr>
        <xdr:spPr>
          <a:xfrm>
            <a:off x="1138238" y="1741122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05" name="Oval 1504">
            <a:extLst>
              <a:ext uri="{FF2B5EF4-FFF2-40B4-BE49-F238E27FC236}">
                <a16:creationId xmlns:a16="http://schemas.microsoft.com/office/drawing/2014/main" id="{10931B53-A0C3-4CDC-931E-2CE33517A416}"/>
              </a:ext>
            </a:extLst>
          </xdr:cNvPr>
          <xdr:cNvSpPr/>
        </xdr:nvSpPr>
        <xdr:spPr>
          <a:xfrm>
            <a:off x="1243014" y="1739979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06" name="Straight Connector 1505">
            <a:extLst>
              <a:ext uri="{FF2B5EF4-FFF2-40B4-BE49-F238E27FC236}">
                <a16:creationId xmlns:a16="http://schemas.microsoft.com/office/drawing/2014/main" id="{C32AEAA2-4F36-4611-9079-9593BFB16A10}"/>
              </a:ext>
            </a:extLst>
          </xdr:cNvPr>
          <xdr:cNvCxnSpPr/>
        </xdr:nvCxnSpPr>
        <xdr:spPr>
          <a:xfrm>
            <a:off x="1133475" y="1741074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7" name="Straight Arrow Connector 1506">
            <a:extLst>
              <a:ext uri="{FF2B5EF4-FFF2-40B4-BE49-F238E27FC236}">
                <a16:creationId xmlns:a16="http://schemas.microsoft.com/office/drawing/2014/main" id="{8CBBC49A-1B38-4421-AB45-5E00ED25EE29}"/>
              </a:ext>
            </a:extLst>
          </xdr:cNvPr>
          <xdr:cNvCxnSpPr/>
        </xdr:nvCxnSpPr>
        <xdr:spPr>
          <a:xfrm flipV="1">
            <a:off x="1295400" y="1742312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8" name="Straight Arrow Connector 1507">
            <a:extLst>
              <a:ext uri="{FF2B5EF4-FFF2-40B4-BE49-F238E27FC236}">
                <a16:creationId xmlns:a16="http://schemas.microsoft.com/office/drawing/2014/main" id="{E55668C8-2FF8-4617-8BA2-538ED7C13650}"/>
              </a:ext>
            </a:extLst>
          </xdr:cNvPr>
          <xdr:cNvCxnSpPr/>
        </xdr:nvCxnSpPr>
        <xdr:spPr>
          <a:xfrm flipH="1">
            <a:off x="800100" y="174112232"/>
            <a:ext cx="319088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87ED1B5D-FB3A-4783-91FD-210DA89CEEC9}"/>
              </a:ext>
            </a:extLst>
          </xdr:cNvPr>
          <xdr:cNvSpPr/>
        </xdr:nvSpPr>
        <xdr:spPr>
          <a:xfrm>
            <a:off x="4376738" y="17411223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21" name="Oval 1520">
            <a:extLst>
              <a:ext uri="{FF2B5EF4-FFF2-40B4-BE49-F238E27FC236}">
                <a16:creationId xmlns:a16="http://schemas.microsoft.com/office/drawing/2014/main" id="{8D5FD098-C3C2-40E8-88D0-2E36C0A2E81E}"/>
              </a:ext>
            </a:extLst>
          </xdr:cNvPr>
          <xdr:cNvSpPr/>
        </xdr:nvSpPr>
        <xdr:spPr>
          <a:xfrm>
            <a:off x="4481514" y="17399793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22" name="Straight Connector 1521">
            <a:extLst>
              <a:ext uri="{FF2B5EF4-FFF2-40B4-BE49-F238E27FC236}">
                <a16:creationId xmlns:a16="http://schemas.microsoft.com/office/drawing/2014/main" id="{07BD08EF-5FC8-4B03-95A6-8B2553C25D4B}"/>
              </a:ext>
            </a:extLst>
          </xdr:cNvPr>
          <xdr:cNvCxnSpPr/>
        </xdr:nvCxnSpPr>
        <xdr:spPr>
          <a:xfrm>
            <a:off x="4371975" y="17410746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3" name="Straight Arrow Connector 1522">
            <a:extLst>
              <a:ext uri="{FF2B5EF4-FFF2-40B4-BE49-F238E27FC236}">
                <a16:creationId xmlns:a16="http://schemas.microsoft.com/office/drawing/2014/main" id="{D18929C2-71FE-4F00-B4A1-A422E09CC017}"/>
              </a:ext>
            </a:extLst>
          </xdr:cNvPr>
          <xdr:cNvCxnSpPr/>
        </xdr:nvCxnSpPr>
        <xdr:spPr>
          <a:xfrm flipV="1">
            <a:off x="4533900" y="17423129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4" name="Straight Connector 1523">
            <a:extLst>
              <a:ext uri="{FF2B5EF4-FFF2-40B4-BE49-F238E27FC236}">
                <a16:creationId xmlns:a16="http://schemas.microsoft.com/office/drawing/2014/main" id="{BA9A6043-5CC6-4CA0-A9E0-B8F3C8EE77E6}"/>
              </a:ext>
            </a:extLst>
          </xdr:cNvPr>
          <xdr:cNvCxnSpPr/>
        </xdr:nvCxnSpPr>
        <xdr:spPr>
          <a:xfrm>
            <a:off x="1290642" y="172392980"/>
            <a:ext cx="162400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5" name="Straight Arrow Connector 1524">
            <a:extLst>
              <a:ext uri="{FF2B5EF4-FFF2-40B4-BE49-F238E27FC236}">
                <a16:creationId xmlns:a16="http://schemas.microsoft.com/office/drawing/2014/main" id="{D283F384-BC39-467F-A3DD-4B80BCBF536B}"/>
              </a:ext>
            </a:extLst>
          </xdr:cNvPr>
          <xdr:cNvCxnSpPr/>
        </xdr:nvCxnSpPr>
        <xdr:spPr>
          <a:xfrm>
            <a:off x="1295400" y="172169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6" name="Straight Connector 1525">
            <a:extLst>
              <a:ext uri="{FF2B5EF4-FFF2-40B4-BE49-F238E27FC236}">
                <a16:creationId xmlns:a16="http://schemas.microsoft.com/office/drawing/2014/main" id="{949E7F33-2F09-4593-9B4E-5E429CEA37D7}"/>
              </a:ext>
            </a:extLst>
          </xdr:cNvPr>
          <xdr:cNvCxnSpPr/>
        </xdr:nvCxnSpPr>
        <xdr:spPr>
          <a:xfrm>
            <a:off x="1295400" y="172169137"/>
            <a:ext cx="1619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7" name="Straight Arrow Connector 1526">
            <a:extLst>
              <a:ext uri="{FF2B5EF4-FFF2-40B4-BE49-F238E27FC236}">
                <a16:creationId xmlns:a16="http://schemas.microsoft.com/office/drawing/2014/main" id="{03559742-290F-4722-B7DF-4F3E97D5911A}"/>
              </a:ext>
            </a:extLst>
          </xdr:cNvPr>
          <xdr:cNvCxnSpPr/>
        </xdr:nvCxnSpPr>
        <xdr:spPr>
          <a:xfrm>
            <a:off x="1457326" y="172169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8" name="Straight Arrow Connector 1527">
            <a:extLst>
              <a:ext uri="{FF2B5EF4-FFF2-40B4-BE49-F238E27FC236}">
                <a16:creationId xmlns:a16="http://schemas.microsoft.com/office/drawing/2014/main" id="{75C275DE-E63A-41DA-BC52-413B096DDC82}"/>
              </a:ext>
            </a:extLst>
          </xdr:cNvPr>
          <xdr:cNvCxnSpPr/>
        </xdr:nvCxnSpPr>
        <xdr:spPr>
          <a:xfrm>
            <a:off x="1619251" y="172169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9" name="Straight Arrow Connector 1528">
            <a:extLst>
              <a:ext uri="{FF2B5EF4-FFF2-40B4-BE49-F238E27FC236}">
                <a16:creationId xmlns:a16="http://schemas.microsoft.com/office/drawing/2014/main" id="{7DC98B44-1D25-47ED-8565-09826CA3F0A4}"/>
              </a:ext>
            </a:extLst>
          </xdr:cNvPr>
          <xdr:cNvCxnSpPr/>
        </xdr:nvCxnSpPr>
        <xdr:spPr>
          <a:xfrm>
            <a:off x="1781175" y="172169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0" name="Straight Arrow Connector 1529">
            <a:extLst>
              <a:ext uri="{FF2B5EF4-FFF2-40B4-BE49-F238E27FC236}">
                <a16:creationId xmlns:a16="http://schemas.microsoft.com/office/drawing/2014/main" id="{186BBD5A-3338-4B4D-BAAD-06F6D09CC27B}"/>
              </a:ext>
            </a:extLst>
          </xdr:cNvPr>
          <xdr:cNvCxnSpPr/>
        </xdr:nvCxnSpPr>
        <xdr:spPr>
          <a:xfrm>
            <a:off x="1943101" y="1721691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1" name="Straight Arrow Connector 1530">
            <a:extLst>
              <a:ext uri="{FF2B5EF4-FFF2-40B4-BE49-F238E27FC236}">
                <a16:creationId xmlns:a16="http://schemas.microsoft.com/office/drawing/2014/main" id="{F7B54C80-D21B-4BCB-9105-50FDC402CC76}"/>
              </a:ext>
            </a:extLst>
          </xdr:cNvPr>
          <xdr:cNvCxnSpPr/>
        </xdr:nvCxnSpPr>
        <xdr:spPr>
          <a:xfrm>
            <a:off x="2105025" y="172169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Arrow Connector 1531">
            <a:extLst>
              <a:ext uri="{FF2B5EF4-FFF2-40B4-BE49-F238E27FC236}">
                <a16:creationId xmlns:a16="http://schemas.microsoft.com/office/drawing/2014/main" id="{B41EA3B3-E17A-4286-8199-035196192FD7}"/>
              </a:ext>
            </a:extLst>
          </xdr:cNvPr>
          <xdr:cNvCxnSpPr/>
        </xdr:nvCxnSpPr>
        <xdr:spPr>
          <a:xfrm>
            <a:off x="2266951" y="172169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Arrow Connector 1532">
            <a:extLst>
              <a:ext uri="{FF2B5EF4-FFF2-40B4-BE49-F238E27FC236}">
                <a16:creationId xmlns:a16="http://schemas.microsoft.com/office/drawing/2014/main" id="{219DDAC3-C78D-4B14-A85B-7DCA6A1A82DF}"/>
              </a:ext>
            </a:extLst>
          </xdr:cNvPr>
          <xdr:cNvCxnSpPr/>
        </xdr:nvCxnSpPr>
        <xdr:spPr>
          <a:xfrm>
            <a:off x="2428876" y="17216913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Arrow Connector 1534">
            <a:extLst>
              <a:ext uri="{FF2B5EF4-FFF2-40B4-BE49-F238E27FC236}">
                <a16:creationId xmlns:a16="http://schemas.microsoft.com/office/drawing/2014/main" id="{6B22F8F8-8C78-4078-AA10-818CDC7B254E}"/>
              </a:ext>
            </a:extLst>
          </xdr:cNvPr>
          <xdr:cNvCxnSpPr/>
        </xdr:nvCxnSpPr>
        <xdr:spPr>
          <a:xfrm>
            <a:off x="2590800" y="17216913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Arrow Connector 1535">
            <a:extLst>
              <a:ext uri="{FF2B5EF4-FFF2-40B4-BE49-F238E27FC236}">
                <a16:creationId xmlns:a16="http://schemas.microsoft.com/office/drawing/2014/main" id="{21104EB6-E8DF-443B-B786-8072C1184958}"/>
              </a:ext>
            </a:extLst>
          </xdr:cNvPr>
          <xdr:cNvCxnSpPr/>
        </xdr:nvCxnSpPr>
        <xdr:spPr>
          <a:xfrm>
            <a:off x="2752726" y="1721691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Arrow Connector 1555">
            <a:extLst>
              <a:ext uri="{FF2B5EF4-FFF2-40B4-BE49-F238E27FC236}">
                <a16:creationId xmlns:a16="http://schemas.microsoft.com/office/drawing/2014/main" id="{39CDC4F1-FBA0-4993-B1F5-937126AEC0C2}"/>
              </a:ext>
            </a:extLst>
          </xdr:cNvPr>
          <xdr:cNvCxnSpPr/>
        </xdr:nvCxnSpPr>
        <xdr:spPr>
          <a:xfrm>
            <a:off x="2914651" y="17216914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5" name="Straight Connector 1584">
            <a:extLst>
              <a:ext uri="{FF2B5EF4-FFF2-40B4-BE49-F238E27FC236}">
                <a16:creationId xmlns:a16="http://schemas.microsoft.com/office/drawing/2014/main" id="{159C6414-3A1C-45F1-9417-6110B9305A72}"/>
              </a:ext>
            </a:extLst>
          </xdr:cNvPr>
          <xdr:cNvCxnSpPr/>
        </xdr:nvCxnSpPr>
        <xdr:spPr>
          <a:xfrm>
            <a:off x="1295401" y="1746885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3" name="Straight Connector 1612">
            <a:extLst>
              <a:ext uri="{FF2B5EF4-FFF2-40B4-BE49-F238E27FC236}">
                <a16:creationId xmlns:a16="http://schemas.microsoft.com/office/drawing/2014/main" id="{52146791-0B4F-42CF-8027-6E06B4650E01}"/>
              </a:ext>
            </a:extLst>
          </xdr:cNvPr>
          <xdr:cNvCxnSpPr/>
        </xdr:nvCxnSpPr>
        <xdr:spPr>
          <a:xfrm>
            <a:off x="1219198" y="17482185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5" name="Straight Connector 1614">
            <a:extLst>
              <a:ext uri="{FF2B5EF4-FFF2-40B4-BE49-F238E27FC236}">
                <a16:creationId xmlns:a16="http://schemas.microsoft.com/office/drawing/2014/main" id="{8A3EC4C4-A260-48CE-AF36-33F4B9393195}"/>
              </a:ext>
            </a:extLst>
          </xdr:cNvPr>
          <xdr:cNvCxnSpPr/>
        </xdr:nvCxnSpPr>
        <xdr:spPr>
          <a:xfrm flipH="1">
            <a:off x="1252538" y="174783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8" name="Straight Connector 1617">
            <a:extLst>
              <a:ext uri="{FF2B5EF4-FFF2-40B4-BE49-F238E27FC236}">
                <a16:creationId xmlns:a16="http://schemas.microsoft.com/office/drawing/2014/main" id="{3BB4AF95-543C-4582-AEAA-4F309634AF7E}"/>
              </a:ext>
            </a:extLst>
          </xdr:cNvPr>
          <xdr:cNvCxnSpPr/>
        </xdr:nvCxnSpPr>
        <xdr:spPr>
          <a:xfrm>
            <a:off x="1219194" y="17510760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9" name="Straight Connector 1618">
            <a:extLst>
              <a:ext uri="{FF2B5EF4-FFF2-40B4-BE49-F238E27FC236}">
                <a16:creationId xmlns:a16="http://schemas.microsoft.com/office/drawing/2014/main" id="{D88925FF-4F8D-4CDD-8AA0-E9E42F55A01F}"/>
              </a:ext>
            </a:extLst>
          </xdr:cNvPr>
          <xdr:cNvCxnSpPr/>
        </xdr:nvCxnSpPr>
        <xdr:spPr>
          <a:xfrm flipH="1">
            <a:off x="1252534" y="1750695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3" name="Straight Connector 1622">
            <a:extLst>
              <a:ext uri="{FF2B5EF4-FFF2-40B4-BE49-F238E27FC236}">
                <a16:creationId xmlns:a16="http://schemas.microsoft.com/office/drawing/2014/main" id="{91AFD49D-91EE-48CE-9AB9-B234E5AE2A6C}"/>
              </a:ext>
            </a:extLst>
          </xdr:cNvPr>
          <xdr:cNvCxnSpPr/>
        </xdr:nvCxnSpPr>
        <xdr:spPr>
          <a:xfrm>
            <a:off x="2914652" y="174402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4" name="Straight Connector 1623">
            <a:extLst>
              <a:ext uri="{FF2B5EF4-FFF2-40B4-BE49-F238E27FC236}">
                <a16:creationId xmlns:a16="http://schemas.microsoft.com/office/drawing/2014/main" id="{8D17D159-152B-4A42-BC73-4AE8C65C44C2}"/>
              </a:ext>
            </a:extLst>
          </xdr:cNvPr>
          <xdr:cNvCxnSpPr/>
        </xdr:nvCxnSpPr>
        <xdr:spPr>
          <a:xfrm flipH="1">
            <a:off x="2871785" y="174783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7" name="Straight Connector 1626">
            <a:extLst>
              <a:ext uri="{FF2B5EF4-FFF2-40B4-BE49-F238E27FC236}">
                <a16:creationId xmlns:a16="http://schemas.microsoft.com/office/drawing/2014/main" id="{ED32FC18-5B40-4CC2-B57F-8BE4D75B4AC8}"/>
              </a:ext>
            </a:extLst>
          </xdr:cNvPr>
          <xdr:cNvCxnSpPr/>
        </xdr:nvCxnSpPr>
        <xdr:spPr>
          <a:xfrm>
            <a:off x="4533901" y="1746885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2" name="Straight Connector 1631">
            <a:extLst>
              <a:ext uri="{FF2B5EF4-FFF2-40B4-BE49-F238E27FC236}">
                <a16:creationId xmlns:a16="http://schemas.microsoft.com/office/drawing/2014/main" id="{0F926843-82F3-4AAC-9346-FDF2FC83D2DF}"/>
              </a:ext>
            </a:extLst>
          </xdr:cNvPr>
          <xdr:cNvCxnSpPr/>
        </xdr:nvCxnSpPr>
        <xdr:spPr>
          <a:xfrm flipH="1">
            <a:off x="4491038" y="174783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3" name="Straight Connector 1632">
            <a:extLst>
              <a:ext uri="{FF2B5EF4-FFF2-40B4-BE49-F238E27FC236}">
                <a16:creationId xmlns:a16="http://schemas.microsoft.com/office/drawing/2014/main" id="{7F9BCBAB-EDB5-4E81-9BEF-0BAFFA3F609E}"/>
              </a:ext>
            </a:extLst>
          </xdr:cNvPr>
          <xdr:cNvCxnSpPr/>
        </xdr:nvCxnSpPr>
        <xdr:spPr>
          <a:xfrm flipH="1">
            <a:off x="4491034" y="1750695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4" name="Straight Arrow Connector 1633">
            <a:extLst>
              <a:ext uri="{FF2B5EF4-FFF2-40B4-BE49-F238E27FC236}">
                <a16:creationId xmlns:a16="http://schemas.microsoft.com/office/drawing/2014/main" id="{24444D8D-7DC8-4BC0-8FB5-4C13DAEE6D80}"/>
              </a:ext>
            </a:extLst>
          </xdr:cNvPr>
          <xdr:cNvCxnSpPr/>
        </xdr:nvCxnSpPr>
        <xdr:spPr>
          <a:xfrm>
            <a:off x="4714876" y="174102713"/>
            <a:ext cx="314324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5" name="Straight Connector 1634">
            <a:extLst>
              <a:ext uri="{FF2B5EF4-FFF2-40B4-BE49-F238E27FC236}">
                <a16:creationId xmlns:a16="http://schemas.microsoft.com/office/drawing/2014/main" id="{A6FC14D9-2D4E-4AC0-9046-978BDD862C0B}"/>
              </a:ext>
            </a:extLst>
          </xdr:cNvPr>
          <xdr:cNvCxnSpPr/>
        </xdr:nvCxnSpPr>
        <xdr:spPr>
          <a:xfrm>
            <a:off x="3095625" y="172535850"/>
            <a:ext cx="1838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6" name="Straight Connector 1635">
            <a:extLst>
              <a:ext uri="{FF2B5EF4-FFF2-40B4-BE49-F238E27FC236}">
                <a16:creationId xmlns:a16="http://schemas.microsoft.com/office/drawing/2014/main" id="{F9F27D0A-B0A4-4304-9DBF-CEE9B78F6094}"/>
              </a:ext>
            </a:extLst>
          </xdr:cNvPr>
          <xdr:cNvCxnSpPr/>
        </xdr:nvCxnSpPr>
        <xdr:spPr>
          <a:xfrm>
            <a:off x="4857750" y="172464413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7" name="Straight Connector 1636">
            <a:extLst>
              <a:ext uri="{FF2B5EF4-FFF2-40B4-BE49-F238E27FC236}">
                <a16:creationId xmlns:a16="http://schemas.microsoft.com/office/drawing/2014/main" id="{B7D84031-579C-4C96-889E-D0640358C2A7}"/>
              </a:ext>
            </a:extLst>
          </xdr:cNvPr>
          <xdr:cNvCxnSpPr/>
        </xdr:nvCxnSpPr>
        <xdr:spPr>
          <a:xfrm flipH="1">
            <a:off x="4814887" y="17249775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8" name="Straight Connector 1637">
            <a:extLst>
              <a:ext uri="{FF2B5EF4-FFF2-40B4-BE49-F238E27FC236}">
                <a16:creationId xmlns:a16="http://schemas.microsoft.com/office/drawing/2014/main" id="{26C76948-F44A-4DE7-8274-685FB9AD3440}"/>
              </a:ext>
            </a:extLst>
          </xdr:cNvPr>
          <xdr:cNvCxnSpPr/>
        </xdr:nvCxnSpPr>
        <xdr:spPr>
          <a:xfrm flipH="1">
            <a:off x="4810124" y="17406461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90487</xdr:colOff>
      <xdr:row>1181</xdr:row>
      <xdr:rowOff>9525</xdr:rowOff>
    </xdr:from>
    <xdr:to>
      <xdr:col>61</xdr:col>
      <xdr:colOff>14287</xdr:colOff>
      <xdr:row>1194</xdr:row>
      <xdr:rowOff>0</xdr:rowOff>
    </xdr:to>
    <xdr:grpSp>
      <xdr:nvGrpSpPr>
        <xdr:cNvPr id="2188" name="Group 2187">
          <a:extLst>
            <a:ext uri="{FF2B5EF4-FFF2-40B4-BE49-F238E27FC236}">
              <a16:creationId xmlns:a16="http://schemas.microsoft.com/office/drawing/2014/main" id="{A62540E3-DFA5-E9DE-8D0F-82B120499B34}"/>
            </a:ext>
          </a:extLst>
        </xdr:cNvPr>
        <xdr:cNvGrpSpPr/>
      </xdr:nvGrpSpPr>
      <xdr:grpSpPr>
        <a:xfrm>
          <a:off x="6567487" y="172259625"/>
          <a:ext cx="3324225" cy="1847850"/>
          <a:chOff x="6567487" y="172259625"/>
          <a:chExt cx="3324225" cy="1847850"/>
        </a:xfrm>
      </xdr:grpSpPr>
      <xdr:sp macro="" textlink="">
        <xdr:nvSpPr>
          <xdr:cNvPr id="1639" name="Freeform: Shape 1638">
            <a:extLst>
              <a:ext uri="{FF2B5EF4-FFF2-40B4-BE49-F238E27FC236}">
                <a16:creationId xmlns:a16="http://schemas.microsoft.com/office/drawing/2014/main" id="{978A3864-1FBA-46EE-8F86-CF8AB01D7A9C}"/>
              </a:ext>
            </a:extLst>
          </xdr:cNvPr>
          <xdr:cNvSpPr/>
        </xdr:nvSpPr>
        <xdr:spPr>
          <a:xfrm>
            <a:off x="6634162" y="172540613"/>
            <a:ext cx="3257550" cy="1566862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40" name="Straight Connector 1639">
            <a:extLst>
              <a:ext uri="{FF2B5EF4-FFF2-40B4-BE49-F238E27FC236}">
                <a16:creationId xmlns:a16="http://schemas.microsoft.com/office/drawing/2014/main" id="{77A27443-E0D4-4121-BF7B-6B1649F18596}"/>
              </a:ext>
            </a:extLst>
          </xdr:cNvPr>
          <xdr:cNvCxnSpPr/>
        </xdr:nvCxnSpPr>
        <xdr:spPr>
          <a:xfrm flipH="1" flipV="1">
            <a:off x="8000929" y="172273796"/>
            <a:ext cx="268404" cy="27794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3" name="Straight Connector 1642">
            <a:extLst>
              <a:ext uri="{FF2B5EF4-FFF2-40B4-BE49-F238E27FC236}">
                <a16:creationId xmlns:a16="http://schemas.microsoft.com/office/drawing/2014/main" id="{B89D0EB3-2AC9-4CC0-90C7-2399BB915AB4}"/>
              </a:ext>
            </a:extLst>
          </xdr:cNvPr>
          <xdr:cNvCxnSpPr/>
        </xdr:nvCxnSpPr>
        <xdr:spPr>
          <a:xfrm>
            <a:off x="6567487" y="172821600"/>
            <a:ext cx="12906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44" name="Freeform: Shape 1643">
            <a:extLst>
              <a:ext uri="{FF2B5EF4-FFF2-40B4-BE49-F238E27FC236}">
                <a16:creationId xmlns:a16="http://schemas.microsoft.com/office/drawing/2014/main" id="{71FE88AE-0C3F-4FC6-9CC8-66918131AD79}"/>
              </a:ext>
            </a:extLst>
          </xdr:cNvPr>
          <xdr:cNvSpPr/>
        </xdr:nvSpPr>
        <xdr:spPr>
          <a:xfrm>
            <a:off x="6634163" y="172283438"/>
            <a:ext cx="1376362" cy="1824037"/>
          </a:xfrm>
          <a:custGeom>
            <a:avLst/>
            <a:gdLst>
              <a:gd name="connsiteX0" fmla="*/ 0 w 1376362"/>
              <a:gd name="connsiteY0" fmla="*/ 1824037 h 1824037"/>
              <a:gd name="connsiteX1" fmla="*/ 1147762 w 1376362"/>
              <a:gd name="connsiteY1" fmla="*/ 1262062 h 1824037"/>
              <a:gd name="connsiteX2" fmla="*/ 1376362 w 1376362"/>
              <a:gd name="connsiteY2" fmla="*/ 0 h 18240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76362" h="1824037">
                <a:moveTo>
                  <a:pt x="0" y="1824037"/>
                </a:moveTo>
                <a:cubicBezTo>
                  <a:pt x="459184" y="1695052"/>
                  <a:pt x="918368" y="1566068"/>
                  <a:pt x="1147762" y="1262062"/>
                </a:cubicBezTo>
                <a:cubicBezTo>
                  <a:pt x="1377156" y="958056"/>
                  <a:pt x="1376362" y="0"/>
                  <a:pt x="1376362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60" name="Straight Connector 1659">
            <a:extLst>
              <a:ext uri="{FF2B5EF4-FFF2-40B4-BE49-F238E27FC236}">
                <a16:creationId xmlns:a16="http://schemas.microsoft.com/office/drawing/2014/main" id="{7B40958F-9E33-4022-B1C6-3C9EBB135ABE}"/>
              </a:ext>
            </a:extLst>
          </xdr:cNvPr>
          <xdr:cNvCxnSpPr/>
        </xdr:nvCxnSpPr>
        <xdr:spPr>
          <a:xfrm flipV="1">
            <a:off x="7786687" y="172764450"/>
            <a:ext cx="0" cy="700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3" name="Straight Connector 1672">
            <a:extLst>
              <a:ext uri="{FF2B5EF4-FFF2-40B4-BE49-F238E27FC236}">
                <a16:creationId xmlns:a16="http://schemas.microsoft.com/office/drawing/2014/main" id="{75D29A24-17CA-4073-A3DE-3069F04A2BA7}"/>
              </a:ext>
            </a:extLst>
          </xdr:cNvPr>
          <xdr:cNvCxnSpPr/>
        </xdr:nvCxnSpPr>
        <xdr:spPr>
          <a:xfrm flipH="1">
            <a:off x="7753350" y="172788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5" name="Straight Connector 1674">
            <a:extLst>
              <a:ext uri="{FF2B5EF4-FFF2-40B4-BE49-F238E27FC236}">
                <a16:creationId xmlns:a16="http://schemas.microsoft.com/office/drawing/2014/main" id="{7DF0A223-27E1-4081-A600-7DF26C78E04F}"/>
              </a:ext>
            </a:extLst>
          </xdr:cNvPr>
          <xdr:cNvCxnSpPr/>
        </xdr:nvCxnSpPr>
        <xdr:spPr>
          <a:xfrm flipH="1" flipV="1">
            <a:off x="7510462" y="173264513"/>
            <a:ext cx="268404" cy="27794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7" name="Straight Connector 1676">
            <a:extLst>
              <a:ext uri="{FF2B5EF4-FFF2-40B4-BE49-F238E27FC236}">
                <a16:creationId xmlns:a16="http://schemas.microsoft.com/office/drawing/2014/main" id="{36DC8DD1-1400-4B66-9317-9EFF9D6ED074}"/>
              </a:ext>
            </a:extLst>
          </xdr:cNvPr>
          <xdr:cNvCxnSpPr/>
        </xdr:nvCxnSpPr>
        <xdr:spPr>
          <a:xfrm flipV="1">
            <a:off x="6638925" y="172764450"/>
            <a:ext cx="0" cy="1285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8" name="Straight Connector 1677">
            <a:extLst>
              <a:ext uri="{FF2B5EF4-FFF2-40B4-BE49-F238E27FC236}">
                <a16:creationId xmlns:a16="http://schemas.microsoft.com/office/drawing/2014/main" id="{38E8B46F-C342-4DFF-878D-1F70943CBFA3}"/>
              </a:ext>
            </a:extLst>
          </xdr:cNvPr>
          <xdr:cNvCxnSpPr/>
        </xdr:nvCxnSpPr>
        <xdr:spPr>
          <a:xfrm flipH="1">
            <a:off x="6605588" y="172788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18" name="Freeform: Shape 1717">
            <a:extLst>
              <a:ext uri="{FF2B5EF4-FFF2-40B4-BE49-F238E27FC236}">
                <a16:creationId xmlns:a16="http://schemas.microsoft.com/office/drawing/2014/main" id="{4FC67FF2-11B6-5AE1-974F-F064F1F87C0B}"/>
              </a:ext>
            </a:extLst>
          </xdr:cNvPr>
          <xdr:cNvSpPr/>
        </xdr:nvSpPr>
        <xdr:spPr>
          <a:xfrm>
            <a:off x="8262937" y="172259625"/>
            <a:ext cx="1624012" cy="1843088"/>
          </a:xfrm>
          <a:custGeom>
            <a:avLst/>
            <a:gdLst>
              <a:gd name="connsiteX0" fmla="*/ 0 w 1624012"/>
              <a:gd name="connsiteY0" fmla="*/ 280988 h 1843088"/>
              <a:gd name="connsiteX1" fmla="*/ 266700 w 1624012"/>
              <a:gd name="connsiteY1" fmla="*/ 0 h 1843088"/>
              <a:gd name="connsiteX2" fmla="*/ 1624012 w 1624012"/>
              <a:gd name="connsiteY2" fmla="*/ 1843088 h 1843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012" h="1843088">
                <a:moveTo>
                  <a:pt x="0" y="280988"/>
                </a:moveTo>
                <a:lnTo>
                  <a:pt x="266700" y="0"/>
                </a:lnTo>
                <a:lnTo>
                  <a:pt x="1624012" y="18430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40</xdr:col>
      <xdr:colOff>90487</xdr:colOff>
      <xdr:row>1203</xdr:row>
      <xdr:rowOff>9525</xdr:rowOff>
    </xdr:from>
    <xdr:to>
      <xdr:col>61</xdr:col>
      <xdr:colOff>14287</xdr:colOff>
      <xdr:row>1216</xdr:row>
      <xdr:rowOff>0</xdr:rowOff>
    </xdr:to>
    <xdr:grpSp>
      <xdr:nvGrpSpPr>
        <xdr:cNvPr id="2190" name="Group 2189">
          <a:extLst>
            <a:ext uri="{FF2B5EF4-FFF2-40B4-BE49-F238E27FC236}">
              <a16:creationId xmlns:a16="http://schemas.microsoft.com/office/drawing/2014/main" id="{887C75C6-9A6C-FDF2-F1C7-9511271FAB6A}"/>
            </a:ext>
          </a:extLst>
        </xdr:cNvPr>
        <xdr:cNvGrpSpPr/>
      </xdr:nvGrpSpPr>
      <xdr:grpSpPr>
        <a:xfrm>
          <a:off x="6567487" y="175402875"/>
          <a:ext cx="3324225" cy="1847850"/>
          <a:chOff x="6567487" y="175402875"/>
          <a:chExt cx="3324225" cy="1847850"/>
        </a:xfrm>
      </xdr:grpSpPr>
      <xdr:sp macro="" textlink="">
        <xdr:nvSpPr>
          <xdr:cNvPr id="1989" name="Freeform: Shape 1988">
            <a:extLst>
              <a:ext uri="{FF2B5EF4-FFF2-40B4-BE49-F238E27FC236}">
                <a16:creationId xmlns:a16="http://schemas.microsoft.com/office/drawing/2014/main" id="{72F6A30B-9D6D-4DE6-81C1-9E88CC71D405}"/>
              </a:ext>
            </a:extLst>
          </xdr:cNvPr>
          <xdr:cNvSpPr/>
        </xdr:nvSpPr>
        <xdr:spPr>
          <a:xfrm>
            <a:off x="6634162" y="175683863"/>
            <a:ext cx="3257550" cy="1566862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91" name="Straight Connector 1990">
            <a:extLst>
              <a:ext uri="{FF2B5EF4-FFF2-40B4-BE49-F238E27FC236}">
                <a16:creationId xmlns:a16="http://schemas.microsoft.com/office/drawing/2014/main" id="{299E94E1-C311-4BB7-80E8-21BAB0368ECF}"/>
              </a:ext>
            </a:extLst>
          </xdr:cNvPr>
          <xdr:cNvCxnSpPr/>
        </xdr:nvCxnSpPr>
        <xdr:spPr>
          <a:xfrm flipH="1" flipV="1">
            <a:off x="8000929" y="175417046"/>
            <a:ext cx="268404" cy="27794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3" name="Straight Connector 1992">
            <a:extLst>
              <a:ext uri="{FF2B5EF4-FFF2-40B4-BE49-F238E27FC236}">
                <a16:creationId xmlns:a16="http://schemas.microsoft.com/office/drawing/2014/main" id="{5839698C-0428-4E62-BC5E-455ACFEDF611}"/>
              </a:ext>
            </a:extLst>
          </xdr:cNvPr>
          <xdr:cNvCxnSpPr/>
        </xdr:nvCxnSpPr>
        <xdr:spPr>
          <a:xfrm>
            <a:off x="6567487" y="175964850"/>
            <a:ext cx="12906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01" name="Freeform: Shape 2000">
            <a:extLst>
              <a:ext uri="{FF2B5EF4-FFF2-40B4-BE49-F238E27FC236}">
                <a16:creationId xmlns:a16="http://schemas.microsoft.com/office/drawing/2014/main" id="{700B545A-6FDC-46EC-B44C-56E07625AD2D}"/>
              </a:ext>
            </a:extLst>
          </xdr:cNvPr>
          <xdr:cNvSpPr/>
        </xdr:nvSpPr>
        <xdr:spPr>
          <a:xfrm>
            <a:off x="6634163" y="175426688"/>
            <a:ext cx="1376362" cy="1824037"/>
          </a:xfrm>
          <a:custGeom>
            <a:avLst/>
            <a:gdLst>
              <a:gd name="connsiteX0" fmla="*/ 0 w 1376362"/>
              <a:gd name="connsiteY0" fmla="*/ 1824037 h 1824037"/>
              <a:gd name="connsiteX1" fmla="*/ 1147762 w 1376362"/>
              <a:gd name="connsiteY1" fmla="*/ 1262062 h 1824037"/>
              <a:gd name="connsiteX2" fmla="*/ 1376362 w 1376362"/>
              <a:gd name="connsiteY2" fmla="*/ 0 h 18240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76362" h="1824037">
                <a:moveTo>
                  <a:pt x="0" y="1824037"/>
                </a:moveTo>
                <a:cubicBezTo>
                  <a:pt x="459184" y="1695052"/>
                  <a:pt x="918368" y="1566068"/>
                  <a:pt x="1147762" y="1262062"/>
                </a:cubicBezTo>
                <a:cubicBezTo>
                  <a:pt x="1377156" y="958056"/>
                  <a:pt x="1376362" y="0"/>
                  <a:pt x="1376362" y="0"/>
                </a:cubicBez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2" name="Straight Connector 2001">
            <a:extLst>
              <a:ext uri="{FF2B5EF4-FFF2-40B4-BE49-F238E27FC236}">
                <a16:creationId xmlns:a16="http://schemas.microsoft.com/office/drawing/2014/main" id="{7C988D44-F513-465B-8937-A98E174413C6}"/>
              </a:ext>
            </a:extLst>
          </xdr:cNvPr>
          <xdr:cNvCxnSpPr/>
        </xdr:nvCxnSpPr>
        <xdr:spPr>
          <a:xfrm flipV="1">
            <a:off x="7786687" y="175907700"/>
            <a:ext cx="0" cy="700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2" name="Straight Connector 2021">
            <a:extLst>
              <a:ext uri="{FF2B5EF4-FFF2-40B4-BE49-F238E27FC236}">
                <a16:creationId xmlns:a16="http://schemas.microsoft.com/office/drawing/2014/main" id="{5D65F16C-2521-4F9A-9CCB-3CF3C50D7E70}"/>
              </a:ext>
            </a:extLst>
          </xdr:cNvPr>
          <xdr:cNvCxnSpPr/>
        </xdr:nvCxnSpPr>
        <xdr:spPr>
          <a:xfrm flipH="1">
            <a:off x="7753350" y="1759315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Straight Connector 2035">
            <a:extLst>
              <a:ext uri="{FF2B5EF4-FFF2-40B4-BE49-F238E27FC236}">
                <a16:creationId xmlns:a16="http://schemas.microsoft.com/office/drawing/2014/main" id="{1BE09ABF-0244-4DCE-9FF0-923D362FFED9}"/>
              </a:ext>
            </a:extLst>
          </xdr:cNvPr>
          <xdr:cNvCxnSpPr/>
        </xdr:nvCxnSpPr>
        <xdr:spPr>
          <a:xfrm flipH="1" flipV="1">
            <a:off x="7510462" y="176407763"/>
            <a:ext cx="268404" cy="27794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1" name="Straight Connector 2040">
            <a:extLst>
              <a:ext uri="{FF2B5EF4-FFF2-40B4-BE49-F238E27FC236}">
                <a16:creationId xmlns:a16="http://schemas.microsoft.com/office/drawing/2014/main" id="{8B099074-4A02-4F11-B4EF-1433039206BF}"/>
              </a:ext>
            </a:extLst>
          </xdr:cNvPr>
          <xdr:cNvCxnSpPr/>
        </xdr:nvCxnSpPr>
        <xdr:spPr>
          <a:xfrm flipV="1">
            <a:off x="6638925" y="175907700"/>
            <a:ext cx="0" cy="1285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2" name="Straight Connector 2041">
            <a:extLst>
              <a:ext uri="{FF2B5EF4-FFF2-40B4-BE49-F238E27FC236}">
                <a16:creationId xmlns:a16="http://schemas.microsoft.com/office/drawing/2014/main" id="{C4B485DD-0D49-4A94-BAB4-336C0FD19401}"/>
              </a:ext>
            </a:extLst>
          </xdr:cNvPr>
          <xdr:cNvCxnSpPr/>
        </xdr:nvCxnSpPr>
        <xdr:spPr>
          <a:xfrm flipH="1">
            <a:off x="6605588" y="1759315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3" name="Freeform: Shape 2042">
            <a:extLst>
              <a:ext uri="{FF2B5EF4-FFF2-40B4-BE49-F238E27FC236}">
                <a16:creationId xmlns:a16="http://schemas.microsoft.com/office/drawing/2014/main" id="{72408203-13E0-420A-8C0C-0F15676FEF73}"/>
              </a:ext>
            </a:extLst>
          </xdr:cNvPr>
          <xdr:cNvSpPr/>
        </xdr:nvSpPr>
        <xdr:spPr>
          <a:xfrm>
            <a:off x="8262937" y="175402875"/>
            <a:ext cx="1624012" cy="1843088"/>
          </a:xfrm>
          <a:custGeom>
            <a:avLst/>
            <a:gdLst>
              <a:gd name="connsiteX0" fmla="*/ 0 w 1624012"/>
              <a:gd name="connsiteY0" fmla="*/ 280988 h 1843088"/>
              <a:gd name="connsiteX1" fmla="*/ 266700 w 1624012"/>
              <a:gd name="connsiteY1" fmla="*/ 0 h 1843088"/>
              <a:gd name="connsiteX2" fmla="*/ 1624012 w 1624012"/>
              <a:gd name="connsiteY2" fmla="*/ 1843088 h 1843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012" h="1843088">
                <a:moveTo>
                  <a:pt x="0" y="280988"/>
                </a:moveTo>
                <a:lnTo>
                  <a:pt x="266700" y="0"/>
                </a:lnTo>
                <a:lnTo>
                  <a:pt x="1624012" y="1843088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161916</xdr:colOff>
      <xdr:row>1204</xdr:row>
      <xdr:rowOff>71438</xdr:rowOff>
    </xdr:from>
    <xdr:to>
      <xdr:col>31</xdr:col>
      <xdr:colOff>9525</xdr:colOff>
      <xdr:row>1223</xdr:row>
      <xdr:rowOff>66675</xdr:rowOff>
    </xdr:to>
    <xdr:grpSp>
      <xdr:nvGrpSpPr>
        <xdr:cNvPr id="2189" name="Group 2188">
          <a:extLst>
            <a:ext uri="{FF2B5EF4-FFF2-40B4-BE49-F238E27FC236}">
              <a16:creationId xmlns:a16="http://schemas.microsoft.com/office/drawing/2014/main" id="{ACB560A6-01A4-B47F-003A-9CC23971AE09}"/>
            </a:ext>
          </a:extLst>
        </xdr:cNvPr>
        <xdr:cNvGrpSpPr/>
      </xdr:nvGrpSpPr>
      <xdr:grpSpPr>
        <a:xfrm>
          <a:off x="809616" y="175607663"/>
          <a:ext cx="4219584" cy="2709862"/>
          <a:chOff x="809616" y="175607663"/>
          <a:chExt cx="4219584" cy="2709862"/>
        </a:xfrm>
      </xdr:grpSpPr>
      <xdr:sp macro="" textlink="">
        <xdr:nvSpPr>
          <xdr:cNvPr id="1719" name="Freeform: Shape 1718">
            <a:extLst>
              <a:ext uri="{FF2B5EF4-FFF2-40B4-BE49-F238E27FC236}">
                <a16:creationId xmlns:a16="http://schemas.microsoft.com/office/drawing/2014/main" id="{BFCFA2A3-E8E3-4F23-85ED-D43B89213C40}"/>
              </a:ext>
            </a:extLst>
          </xdr:cNvPr>
          <xdr:cNvSpPr/>
        </xdr:nvSpPr>
        <xdr:spPr>
          <a:xfrm>
            <a:off x="1285876" y="175679100"/>
            <a:ext cx="3257550" cy="1543050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92E2D46D-C618-4582-B8A3-2387D37708F8}"/>
              </a:ext>
            </a:extLst>
          </xdr:cNvPr>
          <xdr:cNvSpPr/>
        </xdr:nvSpPr>
        <xdr:spPr>
          <a:xfrm>
            <a:off x="1138238" y="1772554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36" name="Oval 1735">
            <a:extLst>
              <a:ext uri="{FF2B5EF4-FFF2-40B4-BE49-F238E27FC236}">
                <a16:creationId xmlns:a16="http://schemas.microsoft.com/office/drawing/2014/main" id="{2DDC02AB-801F-4250-90AF-9FCE3CA2BB63}"/>
              </a:ext>
            </a:extLst>
          </xdr:cNvPr>
          <xdr:cNvSpPr/>
        </xdr:nvSpPr>
        <xdr:spPr>
          <a:xfrm>
            <a:off x="1243014" y="1771411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37" name="Straight Connector 1736">
            <a:extLst>
              <a:ext uri="{FF2B5EF4-FFF2-40B4-BE49-F238E27FC236}">
                <a16:creationId xmlns:a16="http://schemas.microsoft.com/office/drawing/2014/main" id="{4DC4EDAC-5512-48F2-9D81-6CDC6E2EBA62}"/>
              </a:ext>
            </a:extLst>
          </xdr:cNvPr>
          <xdr:cNvCxnSpPr/>
        </xdr:nvCxnSpPr>
        <xdr:spPr>
          <a:xfrm>
            <a:off x="1133475" y="1772507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8" name="Straight Arrow Connector 1737">
            <a:extLst>
              <a:ext uri="{FF2B5EF4-FFF2-40B4-BE49-F238E27FC236}">
                <a16:creationId xmlns:a16="http://schemas.microsoft.com/office/drawing/2014/main" id="{2FCA0686-4C36-47AE-8319-B6EFC3E36869}"/>
              </a:ext>
            </a:extLst>
          </xdr:cNvPr>
          <xdr:cNvCxnSpPr/>
        </xdr:nvCxnSpPr>
        <xdr:spPr>
          <a:xfrm flipV="1">
            <a:off x="1295400" y="177374544"/>
            <a:ext cx="0" cy="309569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1" name="Straight Arrow Connector 1740">
            <a:extLst>
              <a:ext uri="{FF2B5EF4-FFF2-40B4-BE49-F238E27FC236}">
                <a16:creationId xmlns:a16="http://schemas.microsoft.com/office/drawing/2014/main" id="{51D57FE6-B72F-48F8-BAB5-3874FCAA1B1F}"/>
              </a:ext>
            </a:extLst>
          </xdr:cNvPr>
          <xdr:cNvCxnSpPr/>
        </xdr:nvCxnSpPr>
        <xdr:spPr>
          <a:xfrm flipH="1">
            <a:off x="1504950" y="177255482"/>
            <a:ext cx="319088" cy="0"/>
          </a:xfrm>
          <a:prstGeom prst="straightConnector1">
            <a:avLst/>
          </a:prstGeom>
          <a:ln w="15875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042FB8FA-29D8-4F8C-A540-59B3892EC5D6}"/>
              </a:ext>
            </a:extLst>
          </xdr:cNvPr>
          <xdr:cNvSpPr/>
        </xdr:nvSpPr>
        <xdr:spPr>
          <a:xfrm>
            <a:off x="4376738" y="1772554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77" name="Oval 1776">
            <a:extLst>
              <a:ext uri="{FF2B5EF4-FFF2-40B4-BE49-F238E27FC236}">
                <a16:creationId xmlns:a16="http://schemas.microsoft.com/office/drawing/2014/main" id="{3310AD64-26F9-4B91-97F1-500C009AA13F}"/>
              </a:ext>
            </a:extLst>
          </xdr:cNvPr>
          <xdr:cNvSpPr/>
        </xdr:nvSpPr>
        <xdr:spPr>
          <a:xfrm>
            <a:off x="4481514" y="1771411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78" name="Straight Connector 1777">
            <a:extLst>
              <a:ext uri="{FF2B5EF4-FFF2-40B4-BE49-F238E27FC236}">
                <a16:creationId xmlns:a16="http://schemas.microsoft.com/office/drawing/2014/main" id="{589B11F9-0977-49A0-BC30-AECEAF0DFBBB}"/>
              </a:ext>
            </a:extLst>
          </xdr:cNvPr>
          <xdr:cNvCxnSpPr/>
        </xdr:nvCxnSpPr>
        <xdr:spPr>
          <a:xfrm>
            <a:off x="4371975" y="1772507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9" name="Straight Arrow Connector 1778">
            <a:extLst>
              <a:ext uri="{FF2B5EF4-FFF2-40B4-BE49-F238E27FC236}">
                <a16:creationId xmlns:a16="http://schemas.microsoft.com/office/drawing/2014/main" id="{C8A9A406-8B17-4E8F-ABCE-FCCBA08319A8}"/>
              </a:ext>
            </a:extLst>
          </xdr:cNvPr>
          <xdr:cNvCxnSpPr/>
        </xdr:nvCxnSpPr>
        <xdr:spPr>
          <a:xfrm flipV="1">
            <a:off x="4533900" y="1773745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3" name="Straight Connector 1822">
            <a:extLst>
              <a:ext uri="{FF2B5EF4-FFF2-40B4-BE49-F238E27FC236}">
                <a16:creationId xmlns:a16="http://schemas.microsoft.com/office/drawing/2014/main" id="{5EE24D64-96C4-411B-BE69-8FF78CD3AD69}"/>
              </a:ext>
            </a:extLst>
          </xdr:cNvPr>
          <xdr:cNvCxnSpPr/>
        </xdr:nvCxnSpPr>
        <xdr:spPr>
          <a:xfrm>
            <a:off x="1295401" y="177831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5" name="Straight Connector 1824">
            <a:extLst>
              <a:ext uri="{FF2B5EF4-FFF2-40B4-BE49-F238E27FC236}">
                <a16:creationId xmlns:a16="http://schemas.microsoft.com/office/drawing/2014/main" id="{016CAB71-39C7-4D25-A694-80A247613B79}"/>
              </a:ext>
            </a:extLst>
          </xdr:cNvPr>
          <xdr:cNvCxnSpPr/>
        </xdr:nvCxnSpPr>
        <xdr:spPr>
          <a:xfrm>
            <a:off x="1219198" y="17796510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5" name="Straight Connector 1834">
            <a:extLst>
              <a:ext uri="{FF2B5EF4-FFF2-40B4-BE49-F238E27FC236}">
                <a16:creationId xmlns:a16="http://schemas.microsoft.com/office/drawing/2014/main" id="{9236FBF0-4172-482C-B315-73EEA11F8084}"/>
              </a:ext>
            </a:extLst>
          </xdr:cNvPr>
          <xdr:cNvCxnSpPr/>
        </xdr:nvCxnSpPr>
        <xdr:spPr>
          <a:xfrm flipH="1">
            <a:off x="1252538" y="177927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6" name="Straight Connector 1835">
            <a:extLst>
              <a:ext uri="{FF2B5EF4-FFF2-40B4-BE49-F238E27FC236}">
                <a16:creationId xmlns:a16="http://schemas.microsoft.com/office/drawing/2014/main" id="{B27F008C-9009-4677-B3E0-B50256B7B1B6}"/>
              </a:ext>
            </a:extLst>
          </xdr:cNvPr>
          <xdr:cNvCxnSpPr/>
        </xdr:nvCxnSpPr>
        <xdr:spPr>
          <a:xfrm>
            <a:off x="1219194" y="17825085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4" name="Straight Connector 1843">
            <a:extLst>
              <a:ext uri="{FF2B5EF4-FFF2-40B4-BE49-F238E27FC236}">
                <a16:creationId xmlns:a16="http://schemas.microsoft.com/office/drawing/2014/main" id="{D9046D33-5391-4DA8-8026-AF1817339BF2}"/>
              </a:ext>
            </a:extLst>
          </xdr:cNvPr>
          <xdr:cNvCxnSpPr/>
        </xdr:nvCxnSpPr>
        <xdr:spPr>
          <a:xfrm flipH="1">
            <a:off x="1252534" y="178212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5" name="Straight Connector 1844">
            <a:extLst>
              <a:ext uri="{FF2B5EF4-FFF2-40B4-BE49-F238E27FC236}">
                <a16:creationId xmlns:a16="http://schemas.microsoft.com/office/drawing/2014/main" id="{0A51AF52-0ACB-4FAA-BC86-F6720038AC1F}"/>
              </a:ext>
            </a:extLst>
          </xdr:cNvPr>
          <xdr:cNvCxnSpPr/>
        </xdr:nvCxnSpPr>
        <xdr:spPr>
          <a:xfrm>
            <a:off x="2914652" y="1775460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1" name="Straight Connector 1890">
            <a:extLst>
              <a:ext uri="{FF2B5EF4-FFF2-40B4-BE49-F238E27FC236}">
                <a16:creationId xmlns:a16="http://schemas.microsoft.com/office/drawing/2014/main" id="{99E9B335-C001-43A1-89A2-144F4A6EEDE1}"/>
              </a:ext>
            </a:extLst>
          </xdr:cNvPr>
          <xdr:cNvCxnSpPr/>
        </xdr:nvCxnSpPr>
        <xdr:spPr>
          <a:xfrm flipH="1">
            <a:off x="2871785" y="177927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0" name="Straight Connector 1909">
            <a:extLst>
              <a:ext uri="{FF2B5EF4-FFF2-40B4-BE49-F238E27FC236}">
                <a16:creationId xmlns:a16="http://schemas.microsoft.com/office/drawing/2014/main" id="{EC96F065-2028-4F12-83DD-F76743CD2B86}"/>
              </a:ext>
            </a:extLst>
          </xdr:cNvPr>
          <xdr:cNvCxnSpPr/>
        </xdr:nvCxnSpPr>
        <xdr:spPr>
          <a:xfrm>
            <a:off x="4533901" y="177831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7" name="Straight Connector 1916">
            <a:extLst>
              <a:ext uri="{FF2B5EF4-FFF2-40B4-BE49-F238E27FC236}">
                <a16:creationId xmlns:a16="http://schemas.microsoft.com/office/drawing/2014/main" id="{6ED8F113-5416-4DA8-9A68-F116B219E900}"/>
              </a:ext>
            </a:extLst>
          </xdr:cNvPr>
          <xdr:cNvCxnSpPr/>
        </xdr:nvCxnSpPr>
        <xdr:spPr>
          <a:xfrm flipH="1">
            <a:off x="4491038" y="177927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8" name="Straight Connector 1917">
            <a:extLst>
              <a:ext uri="{FF2B5EF4-FFF2-40B4-BE49-F238E27FC236}">
                <a16:creationId xmlns:a16="http://schemas.microsoft.com/office/drawing/2014/main" id="{5C72E79D-69FE-410B-81A3-F2BB2C04C682}"/>
              </a:ext>
            </a:extLst>
          </xdr:cNvPr>
          <xdr:cNvCxnSpPr/>
        </xdr:nvCxnSpPr>
        <xdr:spPr>
          <a:xfrm flipH="1">
            <a:off x="4491034" y="178212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9" name="Straight Arrow Connector 1938">
            <a:extLst>
              <a:ext uri="{FF2B5EF4-FFF2-40B4-BE49-F238E27FC236}">
                <a16:creationId xmlns:a16="http://schemas.microsoft.com/office/drawing/2014/main" id="{ECE9FD66-DC5A-4572-A5B7-E5CD0E473719}"/>
              </a:ext>
            </a:extLst>
          </xdr:cNvPr>
          <xdr:cNvCxnSpPr/>
        </xdr:nvCxnSpPr>
        <xdr:spPr>
          <a:xfrm>
            <a:off x="4714876" y="177245963"/>
            <a:ext cx="314324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0" name="Straight Connector 1939">
            <a:extLst>
              <a:ext uri="{FF2B5EF4-FFF2-40B4-BE49-F238E27FC236}">
                <a16:creationId xmlns:a16="http://schemas.microsoft.com/office/drawing/2014/main" id="{891AA214-2121-4DC6-8447-6D2E1AB0A2F0}"/>
              </a:ext>
            </a:extLst>
          </xdr:cNvPr>
          <xdr:cNvCxnSpPr/>
        </xdr:nvCxnSpPr>
        <xdr:spPr>
          <a:xfrm>
            <a:off x="3095625" y="175679100"/>
            <a:ext cx="1838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Connector 1947">
            <a:extLst>
              <a:ext uri="{FF2B5EF4-FFF2-40B4-BE49-F238E27FC236}">
                <a16:creationId xmlns:a16="http://schemas.microsoft.com/office/drawing/2014/main" id="{E95F4CA9-6FDF-4D96-9298-91589F3F07B5}"/>
              </a:ext>
            </a:extLst>
          </xdr:cNvPr>
          <xdr:cNvCxnSpPr/>
        </xdr:nvCxnSpPr>
        <xdr:spPr>
          <a:xfrm>
            <a:off x="4857750" y="175607663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Connector 1948">
            <a:extLst>
              <a:ext uri="{FF2B5EF4-FFF2-40B4-BE49-F238E27FC236}">
                <a16:creationId xmlns:a16="http://schemas.microsoft.com/office/drawing/2014/main" id="{4A4D2F99-82B0-499E-84FE-49171BA34B96}"/>
              </a:ext>
            </a:extLst>
          </xdr:cNvPr>
          <xdr:cNvCxnSpPr/>
        </xdr:nvCxnSpPr>
        <xdr:spPr>
          <a:xfrm flipH="1">
            <a:off x="4814887" y="1756410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9" name="Straight Connector 1968">
            <a:extLst>
              <a:ext uri="{FF2B5EF4-FFF2-40B4-BE49-F238E27FC236}">
                <a16:creationId xmlns:a16="http://schemas.microsoft.com/office/drawing/2014/main" id="{36DF1CFD-E53B-4C27-B875-3B924328D804}"/>
              </a:ext>
            </a:extLst>
          </xdr:cNvPr>
          <xdr:cNvCxnSpPr/>
        </xdr:nvCxnSpPr>
        <xdr:spPr>
          <a:xfrm flipH="1">
            <a:off x="4810124" y="17720786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5" name="Straight Connector 2044">
            <a:extLst>
              <a:ext uri="{FF2B5EF4-FFF2-40B4-BE49-F238E27FC236}">
                <a16:creationId xmlns:a16="http://schemas.microsoft.com/office/drawing/2014/main" id="{EEB5D651-828E-E12E-7B47-880FD372EF46}"/>
              </a:ext>
            </a:extLst>
          </xdr:cNvPr>
          <xdr:cNvCxnSpPr/>
        </xdr:nvCxnSpPr>
        <xdr:spPr>
          <a:xfrm>
            <a:off x="809628" y="175679100"/>
            <a:ext cx="0" cy="15716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7" name="Straight Connector 2046">
            <a:extLst>
              <a:ext uri="{FF2B5EF4-FFF2-40B4-BE49-F238E27FC236}">
                <a16:creationId xmlns:a16="http://schemas.microsoft.com/office/drawing/2014/main" id="{5BE5DD67-7AC1-46C4-8341-15E3E3171196}"/>
              </a:ext>
            </a:extLst>
          </xdr:cNvPr>
          <xdr:cNvCxnSpPr/>
        </xdr:nvCxnSpPr>
        <xdr:spPr>
          <a:xfrm>
            <a:off x="1023941" y="175679101"/>
            <a:ext cx="0" cy="15716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9" name="Straight Arrow Connector 2048">
            <a:extLst>
              <a:ext uri="{FF2B5EF4-FFF2-40B4-BE49-F238E27FC236}">
                <a16:creationId xmlns:a16="http://schemas.microsoft.com/office/drawing/2014/main" id="{FEC6904F-0E81-6DA3-FB39-F0010F48A155}"/>
              </a:ext>
            </a:extLst>
          </xdr:cNvPr>
          <xdr:cNvCxnSpPr/>
        </xdr:nvCxnSpPr>
        <xdr:spPr>
          <a:xfrm>
            <a:off x="809629" y="175679101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1" name="Straight Arrow Connector 2050">
            <a:extLst>
              <a:ext uri="{FF2B5EF4-FFF2-40B4-BE49-F238E27FC236}">
                <a16:creationId xmlns:a16="http://schemas.microsoft.com/office/drawing/2014/main" id="{813C2D78-11C6-488E-A264-EBD4F64376FF}"/>
              </a:ext>
            </a:extLst>
          </xdr:cNvPr>
          <xdr:cNvCxnSpPr/>
        </xdr:nvCxnSpPr>
        <xdr:spPr>
          <a:xfrm>
            <a:off x="809619" y="175821975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2" name="Straight Arrow Connector 2051">
            <a:extLst>
              <a:ext uri="{FF2B5EF4-FFF2-40B4-BE49-F238E27FC236}">
                <a16:creationId xmlns:a16="http://schemas.microsoft.com/office/drawing/2014/main" id="{D229EE39-AAB0-44D6-8854-16BBD592C625}"/>
              </a:ext>
            </a:extLst>
          </xdr:cNvPr>
          <xdr:cNvCxnSpPr/>
        </xdr:nvCxnSpPr>
        <xdr:spPr>
          <a:xfrm>
            <a:off x="809628" y="175964851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3" name="Straight Arrow Connector 2052">
            <a:extLst>
              <a:ext uri="{FF2B5EF4-FFF2-40B4-BE49-F238E27FC236}">
                <a16:creationId xmlns:a16="http://schemas.microsoft.com/office/drawing/2014/main" id="{380A522A-C6A5-4F6D-B5E2-DBB55353E834}"/>
              </a:ext>
            </a:extLst>
          </xdr:cNvPr>
          <xdr:cNvCxnSpPr/>
        </xdr:nvCxnSpPr>
        <xdr:spPr>
          <a:xfrm>
            <a:off x="809618" y="176107725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4" name="Straight Arrow Connector 2053">
            <a:extLst>
              <a:ext uri="{FF2B5EF4-FFF2-40B4-BE49-F238E27FC236}">
                <a16:creationId xmlns:a16="http://schemas.microsoft.com/office/drawing/2014/main" id="{EF0FA3CF-F378-4D46-ADDA-B345BABAE54D}"/>
              </a:ext>
            </a:extLst>
          </xdr:cNvPr>
          <xdr:cNvCxnSpPr/>
        </xdr:nvCxnSpPr>
        <xdr:spPr>
          <a:xfrm>
            <a:off x="809628" y="176250600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5" name="Straight Arrow Connector 2054">
            <a:extLst>
              <a:ext uri="{FF2B5EF4-FFF2-40B4-BE49-F238E27FC236}">
                <a16:creationId xmlns:a16="http://schemas.microsoft.com/office/drawing/2014/main" id="{C12A366E-285A-4475-A08B-2263D1955B98}"/>
              </a:ext>
            </a:extLst>
          </xdr:cNvPr>
          <xdr:cNvCxnSpPr/>
        </xdr:nvCxnSpPr>
        <xdr:spPr>
          <a:xfrm>
            <a:off x="809618" y="176393474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6" name="Straight Arrow Connector 2055">
            <a:extLst>
              <a:ext uri="{FF2B5EF4-FFF2-40B4-BE49-F238E27FC236}">
                <a16:creationId xmlns:a16="http://schemas.microsoft.com/office/drawing/2014/main" id="{9902B30B-7563-4AE0-8A18-4F0789013607}"/>
              </a:ext>
            </a:extLst>
          </xdr:cNvPr>
          <xdr:cNvCxnSpPr/>
        </xdr:nvCxnSpPr>
        <xdr:spPr>
          <a:xfrm>
            <a:off x="809627" y="176536350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7" name="Straight Arrow Connector 2056">
            <a:extLst>
              <a:ext uri="{FF2B5EF4-FFF2-40B4-BE49-F238E27FC236}">
                <a16:creationId xmlns:a16="http://schemas.microsoft.com/office/drawing/2014/main" id="{77BC63D4-AAA0-42B2-BAEF-D80C70F80509}"/>
              </a:ext>
            </a:extLst>
          </xdr:cNvPr>
          <xdr:cNvCxnSpPr/>
        </xdr:nvCxnSpPr>
        <xdr:spPr>
          <a:xfrm>
            <a:off x="809617" y="176679224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8" name="Straight Arrow Connector 2057">
            <a:extLst>
              <a:ext uri="{FF2B5EF4-FFF2-40B4-BE49-F238E27FC236}">
                <a16:creationId xmlns:a16="http://schemas.microsoft.com/office/drawing/2014/main" id="{63EB7FE8-F303-4F3F-8EC2-83B00F1B6303}"/>
              </a:ext>
            </a:extLst>
          </xdr:cNvPr>
          <xdr:cNvCxnSpPr/>
        </xdr:nvCxnSpPr>
        <xdr:spPr>
          <a:xfrm>
            <a:off x="809627" y="176822100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9" name="Straight Arrow Connector 2058">
            <a:extLst>
              <a:ext uri="{FF2B5EF4-FFF2-40B4-BE49-F238E27FC236}">
                <a16:creationId xmlns:a16="http://schemas.microsoft.com/office/drawing/2014/main" id="{2F76DC77-7A99-41EF-8390-DCCB5E7286AC}"/>
              </a:ext>
            </a:extLst>
          </xdr:cNvPr>
          <xdr:cNvCxnSpPr/>
        </xdr:nvCxnSpPr>
        <xdr:spPr>
          <a:xfrm>
            <a:off x="809617" y="176964974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0" name="Straight Arrow Connector 2059">
            <a:extLst>
              <a:ext uri="{FF2B5EF4-FFF2-40B4-BE49-F238E27FC236}">
                <a16:creationId xmlns:a16="http://schemas.microsoft.com/office/drawing/2014/main" id="{D61FD981-4E13-4B42-B526-BBEF2C69F68C}"/>
              </a:ext>
            </a:extLst>
          </xdr:cNvPr>
          <xdr:cNvCxnSpPr/>
        </xdr:nvCxnSpPr>
        <xdr:spPr>
          <a:xfrm>
            <a:off x="809626" y="177107850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1" name="Straight Arrow Connector 2060">
            <a:extLst>
              <a:ext uri="{FF2B5EF4-FFF2-40B4-BE49-F238E27FC236}">
                <a16:creationId xmlns:a16="http://schemas.microsoft.com/office/drawing/2014/main" id="{DB56D80F-DA0B-4005-B560-53654CBFF3DF}"/>
              </a:ext>
            </a:extLst>
          </xdr:cNvPr>
          <xdr:cNvCxnSpPr/>
        </xdr:nvCxnSpPr>
        <xdr:spPr>
          <a:xfrm>
            <a:off x="809616" y="177250724"/>
            <a:ext cx="21431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1226</xdr:row>
      <xdr:rowOff>4763</xdr:rowOff>
    </xdr:from>
    <xdr:to>
      <xdr:col>31</xdr:col>
      <xdr:colOff>9525</xdr:colOff>
      <xdr:row>1247</xdr:row>
      <xdr:rowOff>66675</xdr:rowOff>
    </xdr:to>
    <xdr:grpSp>
      <xdr:nvGrpSpPr>
        <xdr:cNvPr id="2191" name="Group 2190">
          <a:extLst>
            <a:ext uri="{FF2B5EF4-FFF2-40B4-BE49-F238E27FC236}">
              <a16:creationId xmlns:a16="http://schemas.microsoft.com/office/drawing/2014/main" id="{86D63D6A-521E-3E31-E53D-3D6C487D34E2}"/>
            </a:ext>
          </a:extLst>
        </xdr:cNvPr>
        <xdr:cNvGrpSpPr/>
      </xdr:nvGrpSpPr>
      <xdr:grpSpPr>
        <a:xfrm>
          <a:off x="800100" y="178684238"/>
          <a:ext cx="4229100" cy="3062287"/>
          <a:chOff x="800100" y="178684238"/>
          <a:chExt cx="4229100" cy="3062287"/>
        </a:xfrm>
      </xdr:grpSpPr>
      <xdr:sp macro="" textlink="">
        <xdr:nvSpPr>
          <xdr:cNvPr id="2062" name="Freeform: Shape 2061">
            <a:extLst>
              <a:ext uri="{FF2B5EF4-FFF2-40B4-BE49-F238E27FC236}">
                <a16:creationId xmlns:a16="http://schemas.microsoft.com/office/drawing/2014/main" id="{8AC7F44C-1C91-4FD5-A286-04330875AC5D}"/>
              </a:ext>
            </a:extLst>
          </xdr:cNvPr>
          <xdr:cNvSpPr/>
        </xdr:nvSpPr>
        <xdr:spPr>
          <a:xfrm>
            <a:off x="1285876" y="179108100"/>
            <a:ext cx="3257550" cy="1543050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A28A92BF-90A6-44A6-91AA-23058BD95A2F}"/>
              </a:ext>
            </a:extLst>
          </xdr:cNvPr>
          <xdr:cNvSpPr/>
        </xdr:nvSpPr>
        <xdr:spPr>
          <a:xfrm>
            <a:off x="1138238" y="1806844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64" name="Oval 2063">
            <a:extLst>
              <a:ext uri="{FF2B5EF4-FFF2-40B4-BE49-F238E27FC236}">
                <a16:creationId xmlns:a16="http://schemas.microsoft.com/office/drawing/2014/main" id="{0B4D38A9-A0DD-49C8-8719-ED65372E2D2C}"/>
              </a:ext>
            </a:extLst>
          </xdr:cNvPr>
          <xdr:cNvSpPr/>
        </xdr:nvSpPr>
        <xdr:spPr>
          <a:xfrm>
            <a:off x="1243014" y="1805701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65" name="Straight Connector 2064">
            <a:extLst>
              <a:ext uri="{FF2B5EF4-FFF2-40B4-BE49-F238E27FC236}">
                <a16:creationId xmlns:a16="http://schemas.microsoft.com/office/drawing/2014/main" id="{87C8219C-28DE-44E6-81FF-17D3B537F83E}"/>
              </a:ext>
            </a:extLst>
          </xdr:cNvPr>
          <xdr:cNvCxnSpPr/>
        </xdr:nvCxnSpPr>
        <xdr:spPr>
          <a:xfrm>
            <a:off x="1133475" y="1806797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6" name="Straight Arrow Connector 2065">
            <a:extLst>
              <a:ext uri="{FF2B5EF4-FFF2-40B4-BE49-F238E27FC236}">
                <a16:creationId xmlns:a16="http://schemas.microsoft.com/office/drawing/2014/main" id="{578E6916-DBD6-4B76-BF8F-3881BDA3C4DE}"/>
              </a:ext>
            </a:extLst>
          </xdr:cNvPr>
          <xdr:cNvCxnSpPr/>
        </xdr:nvCxnSpPr>
        <xdr:spPr>
          <a:xfrm flipV="1">
            <a:off x="1295400" y="1808035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7" name="Straight Arrow Connector 2066">
            <a:extLst>
              <a:ext uri="{FF2B5EF4-FFF2-40B4-BE49-F238E27FC236}">
                <a16:creationId xmlns:a16="http://schemas.microsoft.com/office/drawing/2014/main" id="{F7ED0231-DACC-4022-BA5B-E07C9B7A9E82}"/>
              </a:ext>
            </a:extLst>
          </xdr:cNvPr>
          <xdr:cNvCxnSpPr/>
        </xdr:nvCxnSpPr>
        <xdr:spPr>
          <a:xfrm flipH="1">
            <a:off x="800100" y="180684482"/>
            <a:ext cx="319088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0A31DB58-0F6E-43CE-A65D-2662E9A58907}"/>
              </a:ext>
            </a:extLst>
          </xdr:cNvPr>
          <xdr:cNvSpPr/>
        </xdr:nvSpPr>
        <xdr:spPr>
          <a:xfrm>
            <a:off x="4376738" y="180684480"/>
            <a:ext cx="319087" cy="123827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69" name="Oval 2068">
            <a:extLst>
              <a:ext uri="{FF2B5EF4-FFF2-40B4-BE49-F238E27FC236}">
                <a16:creationId xmlns:a16="http://schemas.microsoft.com/office/drawing/2014/main" id="{E2DD8E74-97B5-4FC3-9297-3131464FCD16}"/>
              </a:ext>
            </a:extLst>
          </xdr:cNvPr>
          <xdr:cNvSpPr/>
        </xdr:nvSpPr>
        <xdr:spPr>
          <a:xfrm>
            <a:off x="4481514" y="180570183"/>
            <a:ext cx="104774" cy="1047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70" name="Straight Connector 2069">
            <a:extLst>
              <a:ext uri="{FF2B5EF4-FFF2-40B4-BE49-F238E27FC236}">
                <a16:creationId xmlns:a16="http://schemas.microsoft.com/office/drawing/2014/main" id="{3CC45C51-D95B-4E31-955F-158FBF88CFC8}"/>
              </a:ext>
            </a:extLst>
          </xdr:cNvPr>
          <xdr:cNvCxnSpPr/>
        </xdr:nvCxnSpPr>
        <xdr:spPr>
          <a:xfrm>
            <a:off x="4371975" y="180679719"/>
            <a:ext cx="31908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1" name="Straight Arrow Connector 2070">
            <a:extLst>
              <a:ext uri="{FF2B5EF4-FFF2-40B4-BE49-F238E27FC236}">
                <a16:creationId xmlns:a16="http://schemas.microsoft.com/office/drawing/2014/main" id="{0D8784A2-113D-4DFC-8A84-F3E78689E5F6}"/>
              </a:ext>
            </a:extLst>
          </xdr:cNvPr>
          <xdr:cNvCxnSpPr/>
        </xdr:nvCxnSpPr>
        <xdr:spPr>
          <a:xfrm flipV="1">
            <a:off x="4533900" y="180803544"/>
            <a:ext cx="0" cy="30956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5" name="Straight Connector 2084">
            <a:extLst>
              <a:ext uri="{FF2B5EF4-FFF2-40B4-BE49-F238E27FC236}">
                <a16:creationId xmlns:a16="http://schemas.microsoft.com/office/drawing/2014/main" id="{74A534CD-0B48-4BBC-A79A-02628DD24308}"/>
              </a:ext>
            </a:extLst>
          </xdr:cNvPr>
          <xdr:cNvCxnSpPr/>
        </xdr:nvCxnSpPr>
        <xdr:spPr>
          <a:xfrm>
            <a:off x="1295401" y="181260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8" name="Straight Connector 2087">
            <a:extLst>
              <a:ext uri="{FF2B5EF4-FFF2-40B4-BE49-F238E27FC236}">
                <a16:creationId xmlns:a16="http://schemas.microsoft.com/office/drawing/2014/main" id="{EC36E27C-0F42-40D0-84B1-A0678168D35B}"/>
              </a:ext>
            </a:extLst>
          </xdr:cNvPr>
          <xdr:cNvCxnSpPr/>
        </xdr:nvCxnSpPr>
        <xdr:spPr>
          <a:xfrm>
            <a:off x="1219198" y="18139410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9" name="Straight Connector 2088">
            <a:extLst>
              <a:ext uri="{FF2B5EF4-FFF2-40B4-BE49-F238E27FC236}">
                <a16:creationId xmlns:a16="http://schemas.microsoft.com/office/drawing/2014/main" id="{E27A584C-8B10-491A-8966-54C996E3C4EE}"/>
              </a:ext>
            </a:extLst>
          </xdr:cNvPr>
          <xdr:cNvCxnSpPr/>
        </xdr:nvCxnSpPr>
        <xdr:spPr>
          <a:xfrm flipH="1">
            <a:off x="1252538" y="181356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9" name="Straight Connector 2108">
            <a:extLst>
              <a:ext uri="{FF2B5EF4-FFF2-40B4-BE49-F238E27FC236}">
                <a16:creationId xmlns:a16="http://schemas.microsoft.com/office/drawing/2014/main" id="{3AB1B1CB-0DD8-4D24-A3BB-6ECB4BAED97B}"/>
              </a:ext>
            </a:extLst>
          </xdr:cNvPr>
          <xdr:cNvCxnSpPr/>
        </xdr:nvCxnSpPr>
        <xdr:spPr>
          <a:xfrm>
            <a:off x="1219194" y="181679850"/>
            <a:ext cx="3400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1" name="Straight Connector 2110">
            <a:extLst>
              <a:ext uri="{FF2B5EF4-FFF2-40B4-BE49-F238E27FC236}">
                <a16:creationId xmlns:a16="http://schemas.microsoft.com/office/drawing/2014/main" id="{6E43EDD8-7317-49A7-B7A0-B665E3573236}"/>
              </a:ext>
            </a:extLst>
          </xdr:cNvPr>
          <xdr:cNvCxnSpPr/>
        </xdr:nvCxnSpPr>
        <xdr:spPr>
          <a:xfrm flipH="1">
            <a:off x="1252534" y="181641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1" name="Straight Connector 2140">
            <a:extLst>
              <a:ext uri="{FF2B5EF4-FFF2-40B4-BE49-F238E27FC236}">
                <a16:creationId xmlns:a16="http://schemas.microsoft.com/office/drawing/2014/main" id="{C4660C9B-FFA2-4346-8900-A62210BC00D7}"/>
              </a:ext>
            </a:extLst>
          </xdr:cNvPr>
          <xdr:cNvCxnSpPr/>
        </xdr:nvCxnSpPr>
        <xdr:spPr>
          <a:xfrm>
            <a:off x="2914652" y="179646263"/>
            <a:ext cx="0" cy="1814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2" name="Straight Connector 2141">
            <a:extLst>
              <a:ext uri="{FF2B5EF4-FFF2-40B4-BE49-F238E27FC236}">
                <a16:creationId xmlns:a16="http://schemas.microsoft.com/office/drawing/2014/main" id="{715391FF-3AFC-409C-9B89-CC64F38E1B16}"/>
              </a:ext>
            </a:extLst>
          </xdr:cNvPr>
          <xdr:cNvCxnSpPr/>
        </xdr:nvCxnSpPr>
        <xdr:spPr>
          <a:xfrm flipH="1">
            <a:off x="2871785" y="181356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8" name="Straight Connector 2147">
            <a:extLst>
              <a:ext uri="{FF2B5EF4-FFF2-40B4-BE49-F238E27FC236}">
                <a16:creationId xmlns:a16="http://schemas.microsoft.com/office/drawing/2014/main" id="{75AFEB00-C1C6-4C7A-A5E2-80C8C38D9082}"/>
              </a:ext>
            </a:extLst>
          </xdr:cNvPr>
          <xdr:cNvCxnSpPr/>
        </xdr:nvCxnSpPr>
        <xdr:spPr>
          <a:xfrm>
            <a:off x="4533901" y="1812607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9" name="Straight Connector 2148">
            <a:extLst>
              <a:ext uri="{FF2B5EF4-FFF2-40B4-BE49-F238E27FC236}">
                <a16:creationId xmlns:a16="http://schemas.microsoft.com/office/drawing/2014/main" id="{8D0E8379-AAA4-4499-82F8-E35C8208C535}"/>
              </a:ext>
            </a:extLst>
          </xdr:cNvPr>
          <xdr:cNvCxnSpPr/>
        </xdr:nvCxnSpPr>
        <xdr:spPr>
          <a:xfrm flipH="1">
            <a:off x="4491038" y="181356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0" name="Straight Connector 2149">
            <a:extLst>
              <a:ext uri="{FF2B5EF4-FFF2-40B4-BE49-F238E27FC236}">
                <a16:creationId xmlns:a16="http://schemas.microsoft.com/office/drawing/2014/main" id="{AA114E34-C267-4B28-8772-66B401DE4170}"/>
              </a:ext>
            </a:extLst>
          </xdr:cNvPr>
          <xdr:cNvCxnSpPr/>
        </xdr:nvCxnSpPr>
        <xdr:spPr>
          <a:xfrm flipH="1">
            <a:off x="4491034" y="181641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2" name="Straight Arrow Connector 2151">
            <a:extLst>
              <a:ext uri="{FF2B5EF4-FFF2-40B4-BE49-F238E27FC236}">
                <a16:creationId xmlns:a16="http://schemas.microsoft.com/office/drawing/2014/main" id="{E2951811-D8F5-4A65-B87D-A8C983FB1B88}"/>
              </a:ext>
            </a:extLst>
          </xdr:cNvPr>
          <xdr:cNvCxnSpPr/>
        </xdr:nvCxnSpPr>
        <xdr:spPr>
          <a:xfrm>
            <a:off x="4714876" y="180674963"/>
            <a:ext cx="314324" cy="0"/>
          </a:xfrm>
          <a:prstGeom prst="straightConnector1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3" name="Straight Connector 2152">
            <a:extLst>
              <a:ext uri="{FF2B5EF4-FFF2-40B4-BE49-F238E27FC236}">
                <a16:creationId xmlns:a16="http://schemas.microsoft.com/office/drawing/2014/main" id="{42C3BFC6-8553-40D2-BE03-F52EA6F5C3DE}"/>
              </a:ext>
            </a:extLst>
          </xdr:cNvPr>
          <xdr:cNvCxnSpPr/>
        </xdr:nvCxnSpPr>
        <xdr:spPr>
          <a:xfrm>
            <a:off x="3095625" y="179108100"/>
            <a:ext cx="1838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4" name="Straight Connector 2153">
            <a:extLst>
              <a:ext uri="{FF2B5EF4-FFF2-40B4-BE49-F238E27FC236}">
                <a16:creationId xmlns:a16="http://schemas.microsoft.com/office/drawing/2014/main" id="{391725DE-6AB8-4E81-80C9-F14750211C74}"/>
              </a:ext>
            </a:extLst>
          </xdr:cNvPr>
          <xdr:cNvCxnSpPr/>
        </xdr:nvCxnSpPr>
        <xdr:spPr>
          <a:xfrm>
            <a:off x="4857750" y="179036663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5" name="Straight Connector 2154">
            <a:extLst>
              <a:ext uri="{FF2B5EF4-FFF2-40B4-BE49-F238E27FC236}">
                <a16:creationId xmlns:a16="http://schemas.microsoft.com/office/drawing/2014/main" id="{AE3E1563-47D0-4362-A9F5-06CB168BDA70}"/>
              </a:ext>
            </a:extLst>
          </xdr:cNvPr>
          <xdr:cNvCxnSpPr/>
        </xdr:nvCxnSpPr>
        <xdr:spPr>
          <a:xfrm flipH="1">
            <a:off x="4814887" y="1790700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6" name="Straight Connector 2155">
            <a:extLst>
              <a:ext uri="{FF2B5EF4-FFF2-40B4-BE49-F238E27FC236}">
                <a16:creationId xmlns:a16="http://schemas.microsoft.com/office/drawing/2014/main" id="{A1EE2CDA-1896-4E0F-953A-9D00757BA31F}"/>
              </a:ext>
            </a:extLst>
          </xdr:cNvPr>
          <xdr:cNvCxnSpPr/>
        </xdr:nvCxnSpPr>
        <xdr:spPr>
          <a:xfrm flipH="1">
            <a:off x="4810124" y="18063686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7" name="Straight Arrow Connector 2166">
            <a:extLst>
              <a:ext uri="{FF2B5EF4-FFF2-40B4-BE49-F238E27FC236}">
                <a16:creationId xmlns:a16="http://schemas.microsoft.com/office/drawing/2014/main" id="{A4150E44-3E87-4386-B483-3E37BD98F1B5}"/>
              </a:ext>
            </a:extLst>
          </xdr:cNvPr>
          <xdr:cNvCxnSpPr/>
        </xdr:nvCxnSpPr>
        <xdr:spPr>
          <a:xfrm>
            <a:off x="2914650" y="178684238"/>
            <a:ext cx="0" cy="3952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0" name="Straight Arrow Connector 2169">
            <a:extLst>
              <a:ext uri="{FF2B5EF4-FFF2-40B4-BE49-F238E27FC236}">
                <a16:creationId xmlns:a16="http://schemas.microsoft.com/office/drawing/2014/main" id="{68DB1AA7-DB5E-426B-82C4-38A8556C5155}"/>
              </a:ext>
            </a:extLst>
          </xdr:cNvPr>
          <xdr:cNvCxnSpPr/>
        </xdr:nvCxnSpPr>
        <xdr:spPr>
          <a:xfrm>
            <a:off x="2100263" y="179503387"/>
            <a:ext cx="0" cy="36195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2" name="Straight Arrow Connector 2171">
            <a:extLst>
              <a:ext uri="{FF2B5EF4-FFF2-40B4-BE49-F238E27FC236}">
                <a16:creationId xmlns:a16="http://schemas.microsoft.com/office/drawing/2014/main" id="{F4854B34-2D90-49E7-B443-0026A29E48F1}"/>
              </a:ext>
            </a:extLst>
          </xdr:cNvPr>
          <xdr:cNvCxnSpPr/>
        </xdr:nvCxnSpPr>
        <xdr:spPr>
          <a:xfrm>
            <a:off x="3724274" y="179512912"/>
            <a:ext cx="0" cy="36195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3" name="Straight Connector 2172">
            <a:extLst>
              <a:ext uri="{FF2B5EF4-FFF2-40B4-BE49-F238E27FC236}">
                <a16:creationId xmlns:a16="http://schemas.microsoft.com/office/drawing/2014/main" id="{58E225FA-8D8B-4C72-B21D-D4FAB629CC5D}"/>
              </a:ext>
            </a:extLst>
          </xdr:cNvPr>
          <xdr:cNvCxnSpPr/>
        </xdr:nvCxnSpPr>
        <xdr:spPr>
          <a:xfrm>
            <a:off x="2105029" y="180055838"/>
            <a:ext cx="0" cy="14049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4" name="Straight Connector 2173">
            <a:extLst>
              <a:ext uri="{FF2B5EF4-FFF2-40B4-BE49-F238E27FC236}">
                <a16:creationId xmlns:a16="http://schemas.microsoft.com/office/drawing/2014/main" id="{C32365BB-E3FA-4313-90B9-533BA8DBAE4A}"/>
              </a:ext>
            </a:extLst>
          </xdr:cNvPr>
          <xdr:cNvCxnSpPr/>
        </xdr:nvCxnSpPr>
        <xdr:spPr>
          <a:xfrm flipH="1">
            <a:off x="2062162" y="181356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7" name="Straight Connector 2176">
            <a:extLst>
              <a:ext uri="{FF2B5EF4-FFF2-40B4-BE49-F238E27FC236}">
                <a16:creationId xmlns:a16="http://schemas.microsoft.com/office/drawing/2014/main" id="{E95813A9-2650-4420-A59B-2498264F4EB4}"/>
              </a:ext>
            </a:extLst>
          </xdr:cNvPr>
          <xdr:cNvCxnSpPr/>
        </xdr:nvCxnSpPr>
        <xdr:spPr>
          <a:xfrm>
            <a:off x="3724278" y="180055839"/>
            <a:ext cx="0" cy="14049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8" name="Straight Connector 2177">
            <a:extLst>
              <a:ext uri="{FF2B5EF4-FFF2-40B4-BE49-F238E27FC236}">
                <a16:creationId xmlns:a16="http://schemas.microsoft.com/office/drawing/2014/main" id="{027F91DC-EFA1-43B4-B949-62629BA22B1F}"/>
              </a:ext>
            </a:extLst>
          </xdr:cNvPr>
          <xdr:cNvCxnSpPr/>
        </xdr:nvCxnSpPr>
        <xdr:spPr>
          <a:xfrm flipH="1">
            <a:off x="3681411" y="1813560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157162</xdr:colOff>
      <xdr:row>1227</xdr:row>
      <xdr:rowOff>14288</xdr:rowOff>
    </xdr:from>
    <xdr:to>
      <xdr:col>61</xdr:col>
      <xdr:colOff>14288</xdr:colOff>
      <xdr:row>1240</xdr:row>
      <xdr:rowOff>1</xdr:rowOff>
    </xdr:to>
    <xdr:grpSp>
      <xdr:nvGrpSpPr>
        <xdr:cNvPr id="2192" name="Group 2191">
          <a:extLst>
            <a:ext uri="{FF2B5EF4-FFF2-40B4-BE49-F238E27FC236}">
              <a16:creationId xmlns:a16="http://schemas.microsoft.com/office/drawing/2014/main" id="{B1802CB9-C59D-C16E-3C25-3D0026F5CE18}"/>
            </a:ext>
          </a:extLst>
        </xdr:cNvPr>
        <xdr:cNvGrpSpPr/>
      </xdr:nvGrpSpPr>
      <xdr:grpSpPr>
        <a:xfrm>
          <a:off x="6634162" y="178836638"/>
          <a:ext cx="3257551" cy="1843088"/>
          <a:chOff x="6634162" y="178836638"/>
          <a:chExt cx="3257551" cy="1843088"/>
        </a:xfrm>
      </xdr:grpSpPr>
      <xdr:sp macro="" textlink="">
        <xdr:nvSpPr>
          <xdr:cNvPr id="2157" name="Freeform: Shape 2156">
            <a:extLst>
              <a:ext uri="{FF2B5EF4-FFF2-40B4-BE49-F238E27FC236}">
                <a16:creationId xmlns:a16="http://schemas.microsoft.com/office/drawing/2014/main" id="{7B1C23E0-751D-4590-914B-6841B6205D4F}"/>
              </a:ext>
            </a:extLst>
          </xdr:cNvPr>
          <xdr:cNvSpPr/>
        </xdr:nvSpPr>
        <xdr:spPr>
          <a:xfrm>
            <a:off x="6634162" y="179112863"/>
            <a:ext cx="3257550" cy="1566862"/>
          </a:xfrm>
          <a:custGeom>
            <a:avLst/>
            <a:gdLst>
              <a:gd name="connsiteX0" fmla="*/ 0 w 3257550"/>
              <a:gd name="connsiteY0" fmla="*/ 1581150 h 1581150"/>
              <a:gd name="connsiteX1" fmla="*/ 1628775 w 3257550"/>
              <a:gd name="connsiteY1" fmla="*/ 0 h 1581150"/>
              <a:gd name="connsiteX2" fmla="*/ 3257550 w 3257550"/>
              <a:gd name="connsiteY2" fmla="*/ 1581150 h 1581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257550" h="1581150">
                <a:moveTo>
                  <a:pt x="0" y="1581150"/>
                </a:moveTo>
                <a:lnTo>
                  <a:pt x="1628775" y="0"/>
                </a:lnTo>
                <a:lnTo>
                  <a:pt x="3257550" y="15811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63" name="Straight Connector 2162">
            <a:extLst>
              <a:ext uri="{FF2B5EF4-FFF2-40B4-BE49-F238E27FC236}">
                <a16:creationId xmlns:a16="http://schemas.microsoft.com/office/drawing/2014/main" id="{8610BEF7-ABCB-4C40-8726-71CF60CA7C06}"/>
              </a:ext>
            </a:extLst>
          </xdr:cNvPr>
          <xdr:cNvCxnSpPr/>
        </xdr:nvCxnSpPr>
        <xdr:spPr>
          <a:xfrm flipH="1" flipV="1">
            <a:off x="7439025" y="179898675"/>
            <a:ext cx="333375" cy="34522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0" name="Freeform: Shape 2179">
            <a:extLst>
              <a:ext uri="{FF2B5EF4-FFF2-40B4-BE49-F238E27FC236}">
                <a16:creationId xmlns:a16="http://schemas.microsoft.com/office/drawing/2014/main" id="{659C4B49-42C4-2079-3577-A0EF720D62B1}"/>
              </a:ext>
            </a:extLst>
          </xdr:cNvPr>
          <xdr:cNvSpPr/>
        </xdr:nvSpPr>
        <xdr:spPr>
          <a:xfrm>
            <a:off x="6638925" y="178841401"/>
            <a:ext cx="1624013" cy="1838325"/>
          </a:xfrm>
          <a:custGeom>
            <a:avLst/>
            <a:gdLst>
              <a:gd name="connsiteX0" fmla="*/ 0 w 1624013"/>
              <a:gd name="connsiteY0" fmla="*/ 1838325 h 1838325"/>
              <a:gd name="connsiteX1" fmla="*/ 1133475 w 1624013"/>
              <a:gd name="connsiteY1" fmla="*/ 1400175 h 1838325"/>
              <a:gd name="connsiteX2" fmla="*/ 1362075 w 1624013"/>
              <a:gd name="connsiteY2" fmla="*/ 0 h 1838325"/>
              <a:gd name="connsiteX3" fmla="*/ 1624013 w 1624013"/>
              <a:gd name="connsiteY3" fmla="*/ 271462 h 1838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624013" h="1838325">
                <a:moveTo>
                  <a:pt x="0" y="1838325"/>
                </a:moveTo>
                <a:lnTo>
                  <a:pt x="1133475" y="1400175"/>
                </a:lnTo>
                <a:lnTo>
                  <a:pt x="1362075" y="0"/>
                </a:lnTo>
                <a:lnTo>
                  <a:pt x="1624013" y="271462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182" name="Straight Connector 2181">
            <a:extLst>
              <a:ext uri="{FF2B5EF4-FFF2-40B4-BE49-F238E27FC236}">
                <a16:creationId xmlns:a16="http://schemas.microsoft.com/office/drawing/2014/main" id="{5D13B0BB-E23B-DE04-35FB-30D55C3EC19E}"/>
              </a:ext>
            </a:extLst>
          </xdr:cNvPr>
          <xdr:cNvCxnSpPr/>
        </xdr:nvCxnSpPr>
        <xdr:spPr>
          <a:xfrm flipV="1">
            <a:off x="8737815" y="179898675"/>
            <a:ext cx="329985" cy="3476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4" name="Freeform: Shape 2183">
            <a:extLst>
              <a:ext uri="{FF2B5EF4-FFF2-40B4-BE49-F238E27FC236}">
                <a16:creationId xmlns:a16="http://schemas.microsoft.com/office/drawing/2014/main" id="{F3FA2B95-6374-0616-9C22-BE694590B2F4}"/>
              </a:ext>
            </a:extLst>
          </xdr:cNvPr>
          <xdr:cNvSpPr/>
        </xdr:nvSpPr>
        <xdr:spPr>
          <a:xfrm>
            <a:off x="8267700" y="178836638"/>
            <a:ext cx="1624013" cy="1838325"/>
          </a:xfrm>
          <a:custGeom>
            <a:avLst/>
            <a:gdLst>
              <a:gd name="connsiteX0" fmla="*/ 1624013 w 1624013"/>
              <a:gd name="connsiteY0" fmla="*/ 1838325 h 1838325"/>
              <a:gd name="connsiteX1" fmla="*/ 476250 w 1624013"/>
              <a:gd name="connsiteY1" fmla="*/ 1409700 h 1838325"/>
              <a:gd name="connsiteX2" fmla="*/ 266700 w 1624013"/>
              <a:gd name="connsiteY2" fmla="*/ 0 h 1838325"/>
              <a:gd name="connsiteX3" fmla="*/ 0 w 1624013"/>
              <a:gd name="connsiteY3" fmla="*/ 276225 h 1838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624013" h="1838325">
                <a:moveTo>
                  <a:pt x="1624013" y="1838325"/>
                </a:moveTo>
                <a:lnTo>
                  <a:pt x="476250" y="1409700"/>
                </a:lnTo>
                <a:lnTo>
                  <a:pt x="266700" y="0"/>
                </a:lnTo>
                <a:lnTo>
                  <a:pt x="0" y="276225"/>
                </a:lnTo>
              </a:path>
            </a:pathLst>
          </a:cu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B116-F1B8-4474-956E-B296D91398CF}">
  <dimension ref="B1:BZ1248"/>
  <sheetViews>
    <sheetView showGridLines="0" tabSelected="1" zoomScaleNormal="100" workbookViewId="0">
      <selection activeCell="L3" sqref="L3"/>
    </sheetView>
  </sheetViews>
  <sheetFormatPr defaultRowHeight="11.25"/>
  <cols>
    <col min="1" max="1008" width="2.83203125" style="1" customWidth="1"/>
    <col min="1009" max="16384" width="9.33203125" style="1"/>
  </cols>
  <sheetData>
    <row r="1" spans="2:78" ht="12" thickBot="1"/>
    <row r="2" spans="2:78" ht="45.75" customHeight="1">
      <c r="B2" s="29" t="s">
        <v>44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1"/>
    </row>
    <row r="3" spans="2:78" ht="11.25" customHeight="1">
      <c r="B3" s="2"/>
      <c r="AI3" s="4" t="s">
        <v>38</v>
      </c>
      <c r="BN3" s="3"/>
    </row>
    <row r="4" spans="2:78" ht="11.25" customHeight="1">
      <c r="B4" s="2"/>
      <c r="AA4" s="13">
        <f>-L5*M25^2/(4*M11)</f>
        <v>-18.080357142857142</v>
      </c>
      <c r="AB4" s="13"/>
      <c r="AC4" s="13"/>
      <c r="AL4" s="13">
        <f>+AA4</f>
        <v>-18.080357142857142</v>
      </c>
      <c r="AM4" s="13"/>
      <c r="AN4" s="13"/>
      <c r="BN4" s="3"/>
      <c r="BR4" s="28" t="s">
        <v>40</v>
      </c>
      <c r="BS4" s="28"/>
      <c r="BT4" s="28"/>
      <c r="BU4" s="28"/>
      <c r="BV4" s="28"/>
      <c r="BW4" s="28"/>
      <c r="BX4" s="28"/>
      <c r="BY4" s="28"/>
      <c r="BZ4" s="28"/>
    </row>
    <row r="5" spans="2:78" ht="11.25" customHeight="1">
      <c r="B5" s="2"/>
      <c r="L5" s="26">
        <v>15</v>
      </c>
      <c r="M5" s="26"/>
      <c r="N5" s="1" t="s">
        <v>5</v>
      </c>
      <c r="BN5" s="3"/>
      <c r="BR5" s="28"/>
      <c r="BS5" s="28"/>
      <c r="BT5" s="28"/>
      <c r="BU5" s="28"/>
      <c r="BV5" s="28"/>
      <c r="BW5" s="28"/>
      <c r="BX5" s="28"/>
      <c r="BY5" s="28"/>
      <c r="BZ5" s="28"/>
    </row>
    <row r="6" spans="2:78" ht="11.25" customHeight="1">
      <c r="B6" s="2"/>
      <c r="BN6" s="3"/>
      <c r="BR6" s="28"/>
      <c r="BS6" s="28"/>
      <c r="BT6" s="28"/>
      <c r="BU6" s="28"/>
      <c r="BV6" s="28"/>
      <c r="BW6" s="28"/>
      <c r="BX6" s="28"/>
      <c r="BY6" s="28"/>
      <c r="BZ6" s="28"/>
    </row>
    <row r="7" spans="2:78" ht="11.25" customHeight="1">
      <c r="B7" s="2"/>
      <c r="X7" s="13">
        <f>+AA4</f>
        <v>-18.080357142857142</v>
      </c>
      <c r="Y7" s="13"/>
      <c r="Z7" s="13"/>
      <c r="AP7" s="13">
        <f>+AL4</f>
        <v>-18.080357142857142</v>
      </c>
      <c r="AQ7" s="13"/>
      <c r="AR7" s="13"/>
      <c r="BN7" s="3"/>
      <c r="BR7" s="28"/>
      <c r="BS7" s="28"/>
      <c r="BT7" s="28"/>
      <c r="BU7" s="28"/>
      <c r="BV7" s="28"/>
      <c r="BW7" s="28"/>
      <c r="BX7" s="28"/>
      <c r="BY7" s="28"/>
      <c r="BZ7" s="28"/>
    </row>
    <row r="8" spans="2:78" ht="11.25" customHeight="1">
      <c r="B8" s="2"/>
      <c r="L8" s="5" t="s">
        <v>4</v>
      </c>
      <c r="M8" s="26">
        <v>351</v>
      </c>
      <c r="N8" s="26"/>
      <c r="O8" s="26"/>
      <c r="P8" s="1" t="s">
        <v>3</v>
      </c>
      <c r="BN8" s="3"/>
      <c r="BR8" s="28"/>
      <c r="BS8" s="28"/>
      <c r="BT8" s="28"/>
      <c r="BU8" s="28"/>
      <c r="BV8" s="28"/>
      <c r="BW8" s="28"/>
      <c r="BX8" s="28"/>
      <c r="BY8" s="28"/>
      <c r="BZ8" s="28"/>
    </row>
    <row r="9" spans="2:78" ht="11.25" customHeight="1">
      <c r="B9" s="2"/>
      <c r="BN9" s="3"/>
    </row>
    <row r="10" spans="2:78" ht="11.25" customHeight="1">
      <c r="B10" s="2"/>
      <c r="H10" s="24" t="s">
        <v>3</v>
      </c>
      <c r="L10" s="1" t="s">
        <v>6</v>
      </c>
      <c r="M10" s="13">
        <f>+M8/H12*C12/M25</f>
        <v>0.60000000000000009</v>
      </c>
      <c r="N10" s="13"/>
      <c r="S10" s="24" t="s">
        <v>3</v>
      </c>
      <c r="BN10" s="3"/>
      <c r="BR10" s="14" t="s">
        <v>46</v>
      </c>
      <c r="BS10" s="15"/>
      <c r="BT10" s="15"/>
      <c r="BU10" s="15"/>
      <c r="BV10" s="15"/>
      <c r="BW10" s="15"/>
      <c r="BX10" s="15"/>
      <c r="BY10" s="15"/>
      <c r="BZ10" s="16"/>
    </row>
    <row r="11" spans="2:78" ht="11.25" customHeight="1">
      <c r="B11" s="2"/>
      <c r="C11" s="6" t="s">
        <v>0</v>
      </c>
      <c r="H11" s="24"/>
      <c r="L11" s="1" t="s">
        <v>7</v>
      </c>
      <c r="M11" s="13">
        <f>2*M10+3</f>
        <v>4.2</v>
      </c>
      <c r="N11" s="13"/>
      <c r="S11" s="24"/>
      <c r="AF11" s="13">
        <f>L5*M25^2/8+AA4</f>
        <v>19.888392857142858</v>
      </c>
      <c r="AG11" s="13"/>
      <c r="AH11" s="13"/>
      <c r="BN11" s="3"/>
      <c r="BR11" s="17"/>
      <c r="BS11" s="18"/>
      <c r="BT11" s="18"/>
      <c r="BU11" s="18"/>
      <c r="BV11" s="18"/>
      <c r="BW11" s="18"/>
      <c r="BX11" s="18"/>
      <c r="BY11" s="18"/>
      <c r="BZ11" s="19"/>
    </row>
    <row r="12" spans="2:78" ht="11.25" customHeight="1">
      <c r="B12" s="2"/>
      <c r="C12" s="23">
        <v>3.5</v>
      </c>
      <c r="H12" s="23">
        <v>455</v>
      </c>
      <c r="S12" s="24">
        <f>+H12</f>
        <v>455</v>
      </c>
      <c r="BN12" s="3"/>
      <c r="BR12" s="17"/>
      <c r="BS12" s="18"/>
      <c r="BT12" s="18"/>
      <c r="BU12" s="18"/>
      <c r="BV12" s="18"/>
      <c r="BW12" s="18"/>
      <c r="BX12" s="18"/>
      <c r="BY12" s="18"/>
      <c r="BZ12" s="19"/>
    </row>
    <row r="13" spans="2:78" ht="11.25" customHeight="1">
      <c r="B13" s="2"/>
      <c r="C13" s="23"/>
      <c r="H13" s="23"/>
      <c r="S13" s="24"/>
      <c r="BN13" s="3"/>
      <c r="BR13" s="17"/>
      <c r="BS13" s="18"/>
      <c r="BT13" s="18"/>
      <c r="BU13" s="18"/>
      <c r="BV13" s="18"/>
      <c r="BW13" s="18"/>
      <c r="BX13" s="18"/>
      <c r="BY13" s="18"/>
      <c r="BZ13" s="19"/>
    </row>
    <row r="14" spans="2:78" ht="11.25" customHeight="1">
      <c r="B14" s="2"/>
      <c r="C14" s="23"/>
      <c r="H14" s="23"/>
      <c r="S14" s="24"/>
      <c r="AD14" s="1" t="s">
        <v>39</v>
      </c>
      <c r="BN14" s="3"/>
      <c r="BR14" s="17"/>
      <c r="BS14" s="18"/>
      <c r="BT14" s="18"/>
      <c r="BU14" s="18"/>
      <c r="BV14" s="18"/>
      <c r="BW14" s="18"/>
      <c r="BX14" s="18"/>
      <c r="BY14" s="18"/>
      <c r="BZ14" s="19"/>
    </row>
    <row r="15" spans="2:78" ht="11.25" customHeight="1">
      <c r="B15" s="2"/>
      <c r="C15" s="24" t="s">
        <v>1</v>
      </c>
      <c r="H15" s="23"/>
      <c r="S15" s="24"/>
      <c r="BN15" s="3"/>
      <c r="BR15" s="20"/>
      <c r="BS15" s="21"/>
      <c r="BT15" s="21"/>
      <c r="BU15" s="21"/>
      <c r="BV15" s="21"/>
      <c r="BW15" s="21"/>
      <c r="BX15" s="21"/>
      <c r="BY15" s="21"/>
      <c r="BZ15" s="22"/>
    </row>
    <row r="16" spans="2:78" ht="11.25" customHeight="1">
      <c r="B16" s="2"/>
      <c r="C16" s="24"/>
      <c r="H16" s="25" t="s">
        <v>4</v>
      </c>
      <c r="S16" s="25" t="s">
        <v>4</v>
      </c>
      <c r="BN16" s="3"/>
    </row>
    <row r="17" spans="2:66" ht="11.25" customHeight="1">
      <c r="B17" s="2"/>
      <c r="H17" s="24"/>
      <c r="S17" s="24"/>
      <c r="BN17" s="3"/>
    </row>
    <row r="18" spans="2:66" ht="11.25" customHeight="1">
      <c r="B18" s="2"/>
      <c r="BN18" s="3"/>
    </row>
    <row r="19" spans="2:66" ht="11.25" customHeight="1">
      <c r="B19" s="2"/>
      <c r="D19" s="13">
        <f>-X7/C12</f>
        <v>5.1658163265306118</v>
      </c>
      <c r="E19" s="13"/>
      <c r="F19" s="1" t="s">
        <v>8</v>
      </c>
      <c r="V19" s="13">
        <f>+D19</f>
        <v>5.1658163265306118</v>
      </c>
      <c r="W19" s="13"/>
      <c r="X19" s="1" t="s">
        <v>8</v>
      </c>
      <c r="BN19" s="3"/>
    </row>
    <row r="20" spans="2:66" ht="11.25" customHeight="1">
      <c r="B20" s="2"/>
      <c r="BN20" s="3"/>
    </row>
    <row r="21" spans="2:66" ht="11.25" customHeight="1">
      <c r="B21" s="2"/>
      <c r="BN21" s="3"/>
    </row>
    <row r="22" spans="2:66" ht="11.25" customHeight="1">
      <c r="B22" s="2"/>
      <c r="BN22" s="3"/>
    </row>
    <row r="23" spans="2:66" ht="11.25" customHeight="1">
      <c r="B23" s="2"/>
      <c r="G23" s="13">
        <f>L5*M25/2</f>
        <v>33.75</v>
      </c>
      <c r="H23" s="13"/>
      <c r="I23" s="1" t="s">
        <v>8</v>
      </c>
      <c r="S23" s="13">
        <f>+G23</f>
        <v>33.75</v>
      </c>
      <c r="T23" s="13"/>
      <c r="U23" s="1" t="s">
        <v>8</v>
      </c>
      <c r="BN23" s="3"/>
    </row>
    <row r="24" spans="2:66" ht="11.25" customHeight="1">
      <c r="B24" s="2"/>
      <c r="BN24" s="3"/>
    </row>
    <row r="25" spans="2:66" ht="11.25" customHeight="1">
      <c r="B25" s="2"/>
      <c r="L25" s="1" t="s">
        <v>2</v>
      </c>
      <c r="M25" s="26">
        <v>4.5</v>
      </c>
      <c r="N25" s="26"/>
      <c r="O25" s="1" t="s">
        <v>0</v>
      </c>
      <c r="BN25" s="3"/>
    </row>
    <row r="26" spans="2:66" ht="11.25" customHeight="1">
      <c r="B26" s="2"/>
      <c r="BN26" s="3"/>
    </row>
    <row r="27" spans="2:66" ht="11.25" customHeight="1">
      <c r="B27" s="2"/>
      <c r="BN27" s="3"/>
    </row>
    <row r="28" spans="2:66" ht="11.25" customHeight="1">
      <c r="B28" s="2"/>
      <c r="AA28" s="13">
        <f>-L29*M49*M51*(3-M36^2)/(8*M35)</f>
        <v>-11.737499999999997</v>
      </c>
      <c r="AB28" s="13"/>
      <c r="AC28" s="13"/>
      <c r="AL28" s="13">
        <f>+AA28</f>
        <v>-11.737499999999997</v>
      </c>
      <c r="AM28" s="13"/>
      <c r="AN28" s="13"/>
      <c r="BN28" s="3"/>
    </row>
    <row r="29" spans="2:66" ht="11.25" customHeight="1">
      <c r="B29" s="2"/>
      <c r="L29" s="26">
        <v>15</v>
      </c>
      <c r="M29" s="26"/>
      <c r="N29" s="1" t="s">
        <v>5</v>
      </c>
      <c r="BN29" s="3"/>
    </row>
    <row r="30" spans="2:66" ht="11.25" customHeight="1">
      <c r="B30" s="2"/>
      <c r="BN30" s="3"/>
    </row>
    <row r="31" spans="2:66" ht="11.25" customHeight="1">
      <c r="B31" s="2"/>
      <c r="X31" s="13">
        <f>+AA28</f>
        <v>-11.737499999999997</v>
      </c>
      <c r="Y31" s="13"/>
      <c r="Z31" s="13"/>
      <c r="AP31" s="13">
        <f>+AL28</f>
        <v>-11.737499999999997</v>
      </c>
      <c r="AQ31" s="13"/>
      <c r="AR31" s="13"/>
      <c r="BN31" s="3"/>
    </row>
    <row r="32" spans="2:66" ht="11.25" customHeight="1">
      <c r="B32" s="2"/>
      <c r="L32" s="5" t="s">
        <v>4</v>
      </c>
      <c r="M32" s="26">
        <v>351</v>
      </c>
      <c r="N32" s="26"/>
      <c r="O32" s="26"/>
      <c r="P32" s="1" t="s">
        <v>3</v>
      </c>
      <c r="BN32" s="3"/>
    </row>
    <row r="33" spans="2:66" ht="11.25" customHeight="1">
      <c r="B33" s="2"/>
      <c r="BN33" s="3"/>
    </row>
    <row r="34" spans="2:66" ht="11.25" customHeight="1">
      <c r="B34" s="2"/>
      <c r="H34" s="24" t="s">
        <v>3</v>
      </c>
      <c r="L34" s="1" t="s">
        <v>6</v>
      </c>
      <c r="M34" s="13">
        <f>+M32/H36*C36/M51</f>
        <v>0.60000000000000009</v>
      </c>
      <c r="N34" s="13"/>
      <c r="S34" s="24" t="s">
        <v>3</v>
      </c>
      <c r="BN34" s="3"/>
    </row>
    <row r="35" spans="2:66" ht="11.25" customHeight="1">
      <c r="B35" s="2"/>
      <c r="C35" s="6" t="s">
        <v>0</v>
      </c>
      <c r="H35" s="24"/>
      <c r="L35" s="1" t="s">
        <v>7</v>
      </c>
      <c r="M35" s="13">
        <f>2*M34+3</f>
        <v>4.2</v>
      </c>
      <c r="N35" s="13"/>
      <c r="S35" s="24"/>
      <c r="AF35" s="13">
        <f>L29*M49*(M51+2*I49)/8+AA28</f>
        <v>15.431249999999999</v>
      </c>
      <c r="AG35" s="13"/>
      <c r="AH35" s="13"/>
      <c r="BN35" s="3"/>
    </row>
    <row r="36" spans="2:66" ht="11.25" customHeight="1">
      <c r="B36" s="2"/>
      <c r="C36" s="23">
        <v>3.5</v>
      </c>
      <c r="H36" s="23">
        <v>455</v>
      </c>
      <c r="L36" s="7" t="s">
        <v>9</v>
      </c>
      <c r="M36" s="13">
        <f>M49/M51</f>
        <v>0.46666666666666656</v>
      </c>
      <c r="N36" s="13"/>
      <c r="S36" s="24">
        <f>+H36</f>
        <v>455</v>
      </c>
      <c r="BN36" s="3"/>
    </row>
    <row r="37" spans="2:66" ht="11.25" customHeight="1">
      <c r="B37" s="2"/>
      <c r="C37" s="23"/>
      <c r="H37" s="23"/>
      <c r="S37" s="24"/>
      <c r="BN37" s="3"/>
    </row>
    <row r="38" spans="2:66" ht="11.25" customHeight="1">
      <c r="B38" s="2"/>
      <c r="C38" s="23"/>
      <c r="H38" s="23"/>
      <c r="S38" s="24"/>
      <c r="AD38" s="1" t="s">
        <v>39</v>
      </c>
      <c r="BN38" s="3"/>
    </row>
    <row r="39" spans="2:66" ht="11.25" customHeight="1">
      <c r="B39" s="2"/>
      <c r="C39" s="24" t="s">
        <v>1</v>
      </c>
      <c r="H39" s="23"/>
      <c r="S39" s="24"/>
      <c r="BN39" s="3"/>
    </row>
    <row r="40" spans="2:66" ht="11.25" customHeight="1">
      <c r="B40" s="2"/>
      <c r="C40" s="24"/>
      <c r="H40" s="25" t="s">
        <v>4</v>
      </c>
      <c r="S40" s="25" t="s">
        <v>4</v>
      </c>
      <c r="BN40" s="3"/>
    </row>
    <row r="41" spans="2:66" ht="11.25" customHeight="1">
      <c r="B41" s="2"/>
      <c r="H41" s="24"/>
      <c r="S41" s="24"/>
      <c r="BN41" s="3"/>
    </row>
    <row r="42" spans="2:66" ht="11.25" customHeight="1">
      <c r="B42" s="2"/>
      <c r="BN42" s="3"/>
    </row>
    <row r="43" spans="2:66" ht="11.25" customHeight="1">
      <c r="B43" s="2"/>
      <c r="D43" s="13">
        <f>-X31/C36</f>
        <v>3.3535714285714278</v>
      </c>
      <c r="E43" s="13"/>
      <c r="F43" s="1" t="s">
        <v>8</v>
      </c>
      <c r="V43" s="13">
        <f>+D43</f>
        <v>3.3535714285714278</v>
      </c>
      <c r="W43" s="13"/>
      <c r="X43" s="1" t="s">
        <v>8</v>
      </c>
      <c r="BN43" s="3"/>
    </row>
    <row r="44" spans="2:66" ht="11.25" customHeight="1">
      <c r="B44" s="2"/>
      <c r="BN44" s="3"/>
    </row>
    <row r="45" spans="2:66" ht="11.25" customHeight="1">
      <c r="B45" s="2"/>
      <c r="BN45" s="3"/>
    </row>
    <row r="46" spans="2:66" ht="11.25" customHeight="1">
      <c r="B46" s="2"/>
      <c r="BN46" s="3"/>
    </row>
    <row r="47" spans="2:66" ht="11.25" customHeight="1">
      <c r="B47" s="2"/>
      <c r="G47" s="13">
        <f>L29*M49/2</f>
        <v>15.749999999999996</v>
      </c>
      <c r="H47" s="13"/>
      <c r="I47" s="1" t="s">
        <v>8</v>
      </c>
      <c r="S47" s="13">
        <f>+G47</f>
        <v>15.749999999999996</v>
      </c>
      <c r="T47" s="13"/>
      <c r="U47" s="1" t="s">
        <v>8</v>
      </c>
      <c r="BN47" s="3"/>
    </row>
    <row r="48" spans="2:66" ht="11.25" customHeight="1">
      <c r="B48" s="2"/>
      <c r="BN48" s="3"/>
    </row>
    <row r="49" spans="2:66" ht="11.25" customHeight="1">
      <c r="B49" s="2"/>
      <c r="I49" s="26">
        <v>1.2</v>
      </c>
      <c r="J49" s="26"/>
      <c r="K49" s="1" t="s">
        <v>0</v>
      </c>
      <c r="M49" s="13">
        <f>+M51-I49-Q49</f>
        <v>2.0999999999999996</v>
      </c>
      <c r="N49" s="13"/>
      <c r="O49" s="1" t="s">
        <v>0</v>
      </c>
      <c r="Q49" s="13">
        <f>+I49</f>
        <v>1.2</v>
      </c>
      <c r="R49" s="13"/>
      <c r="S49" s="1" t="s">
        <v>0</v>
      </c>
      <c r="BN49" s="3"/>
    </row>
    <row r="50" spans="2:66" ht="11.25" customHeight="1">
      <c r="B50" s="2"/>
      <c r="BN50" s="3"/>
    </row>
    <row r="51" spans="2:66" ht="11.25" customHeight="1">
      <c r="B51" s="2"/>
      <c r="L51" s="1" t="s">
        <v>2</v>
      </c>
      <c r="M51" s="26">
        <v>4.5</v>
      </c>
      <c r="N51" s="26"/>
      <c r="O51" s="1" t="s">
        <v>0</v>
      </c>
      <c r="BN51" s="3"/>
    </row>
    <row r="52" spans="2:66" ht="11.25" customHeight="1">
      <c r="B52" s="2"/>
      <c r="BN52" s="3"/>
    </row>
    <row r="53" spans="2:66" ht="11.25" customHeight="1">
      <c r="B53" s="2"/>
      <c r="BN53" s="3"/>
    </row>
    <row r="54" spans="2:66" ht="11.25" customHeight="1">
      <c r="B54" s="2"/>
      <c r="AA54" s="13">
        <f>-J55*J75^2*(1+2*M62)/(4*M61)</f>
        <v>-14.670138888888889</v>
      </c>
      <c r="AB54" s="13"/>
      <c r="AC54" s="13"/>
      <c r="AL54" s="13">
        <f>+AA54</f>
        <v>-14.670138888888889</v>
      </c>
      <c r="AM54" s="13"/>
      <c r="AN54" s="13"/>
      <c r="BN54" s="3"/>
    </row>
    <row r="55" spans="2:66" ht="11.25" customHeight="1">
      <c r="B55" s="2"/>
      <c r="J55" s="27">
        <v>15</v>
      </c>
      <c r="K55" s="27"/>
      <c r="L55" s="1" t="s">
        <v>5</v>
      </c>
      <c r="BN55" s="3"/>
    </row>
    <row r="56" spans="2:66" ht="11.25" customHeight="1">
      <c r="B56" s="2"/>
      <c r="BN56" s="3"/>
    </row>
    <row r="57" spans="2:66" ht="11.25" customHeight="1">
      <c r="B57" s="2"/>
      <c r="X57" s="13">
        <f>+AA54</f>
        <v>-14.670138888888889</v>
      </c>
      <c r="Y57" s="13"/>
      <c r="Z57" s="13"/>
      <c r="AP57" s="13">
        <f>+AL54</f>
        <v>-14.670138888888889</v>
      </c>
      <c r="AQ57" s="13"/>
      <c r="AR57" s="13"/>
      <c r="BN57" s="3"/>
    </row>
    <row r="58" spans="2:66" ht="11.25" customHeight="1">
      <c r="B58" s="2"/>
      <c r="L58" s="5" t="s">
        <v>4</v>
      </c>
      <c r="M58" s="26">
        <v>351</v>
      </c>
      <c r="N58" s="26"/>
      <c r="O58" s="26"/>
      <c r="P58" s="1" t="s">
        <v>3</v>
      </c>
      <c r="BN58" s="3"/>
    </row>
    <row r="59" spans="2:66" ht="11.25" customHeight="1">
      <c r="B59" s="2"/>
      <c r="BN59" s="3"/>
    </row>
    <row r="60" spans="2:66" ht="11.25" customHeight="1">
      <c r="B60" s="2"/>
      <c r="H60" s="24" t="s">
        <v>3</v>
      </c>
      <c r="L60" s="1" t="s">
        <v>6</v>
      </c>
      <c r="M60" s="13">
        <f>+M58/H62*C62/M77</f>
        <v>0.60000000000000009</v>
      </c>
      <c r="N60" s="13"/>
      <c r="S60" s="24" t="s">
        <v>3</v>
      </c>
      <c r="BN60" s="3"/>
    </row>
    <row r="61" spans="2:66" ht="11.25" customHeight="1">
      <c r="B61" s="2"/>
      <c r="C61" s="6" t="s">
        <v>0</v>
      </c>
      <c r="H61" s="24"/>
      <c r="L61" s="1" t="s">
        <v>7</v>
      </c>
      <c r="M61" s="13">
        <f>2*M60+3</f>
        <v>4.2</v>
      </c>
      <c r="N61" s="13"/>
      <c r="S61" s="24"/>
      <c r="AF61" s="13">
        <f>(G73-J55*J75/2)*J75+AA54</f>
        <v>7.3350694444444393</v>
      </c>
      <c r="AG61" s="13"/>
      <c r="AH61" s="13"/>
      <c r="BN61" s="3"/>
    </row>
    <row r="62" spans="2:66" ht="11.25" customHeight="1">
      <c r="B62" s="2"/>
      <c r="C62" s="23">
        <v>3.5</v>
      </c>
      <c r="H62" s="23">
        <v>455</v>
      </c>
      <c r="L62" s="5" t="s">
        <v>10</v>
      </c>
      <c r="M62" s="13">
        <f>+Q75/M77</f>
        <v>0.27777777777777779</v>
      </c>
      <c r="N62" s="13"/>
      <c r="S62" s="24">
        <f>+H62</f>
        <v>455</v>
      </c>
      <c r="BN62" s="3"/>
    </row>
    <row r="63" spans="2:66" ht="11.25" customHeight="1">
      <c r="B63" s="2"/>
      <c r="C63" s="23"/>
      <c r="H63" s="23"/>
      <c r="S63" s="24"/>
      <c r="AD63" s="13">
        <f>+J75</f>
        <v>3.25</v>
      </c>
      <c r="AE63" s="13"/>
      <c r="AF63" s="1" t="s">
        <v>0</v>
      </c>
      <c r="BN63" s="3"/>
    </row>
    <row r="64" spans="2:66" ht="11.25" customHeight="1">
      <c r="B64" s="2"/>
      <c r="C64" s="23"/>
      <c r="H64" s="23"/>
      <c r="S64" s="24"/>
      <c r="BN64" s="3"/>
    </row>
    <row r="65" spans="2:66" ht="11.25" customHeight="1">
      <c r="B65" s="2"/>
      <c r="C65" s="24" t="s">
        <v>1</v>
      </c>
      <c r="H65" s="23"/>
      <c r="S65" s="24"/>
      <c r="BN65" s="3"/>
    </row>
    <row r="66" spans="2:66" ht="11.25" customHeight="1">
      <c r="B66" s="2"/>
      <c r="C66" s="24"/>
      <c r="H66" s="25" t="s">
        <v>4</v>
      </c>
      <c r="S66" s="25" t="s">
        <v>4</v>
      </c>
      <c r="AD66" s="1" t="s">
        <v>39</v>
      </c>
      <c r="BN66" s="3"/>
    </row>
    <row r="67" spans="2:66" ht="11.25" customHeight="1">
      <c r="B67" s="2"/>
      <c r="H67" s="24"/>
      <c r="S67" s="24"/>
      <c r="BN67" s="3"/>
    </row>
    <row r="68" spans="2:66" ht="11.25" customHeight="1">
      <c r="B68" s="2"/>
      <c r="BN68" s="3"/>
    </row>
    <row r="69" spans="2:66" ht="11.25" customHeight="1">
      <c r="B69" s="2"/>
      <c r="D69" s="13">
        <f>-X57/C62</f>
        <v>4.191468253968254</v>
      </c>
      <c r="E69" s="13"/>
      <c r="F69" s="1" t="s">
        <v>8</v>
      </c>
      <c r="V69" s="13">
        <f>+D69</f>
        <v>4.191468253968254</v>
      </c>
      <c r="W69" s="13"/>
      <c r="X69" s="1" t="s">
        <v>8</v>
      </c>
      <c r="BN69" s="3"/>
    </row>
    <row r="70" spans="2:66" ht="11.25" customHeight="1">
      <c r="B70" s="2"/>
      <c r="BN70" s="3"/>
    </row>
    <row r="71" spans="2:66" ht="11.25" customHeight="1">
      <c r="B71" s="2"/>
      <c r="BN71" s="3"/>
    </row>
    <row r="72" spans="2:66" ht="11.25" customHeight="1">
      <c r="B72" s="2"/>
      <c r="BN72" s="3"/>
    </row>
    <row r="73" spans="2:66" ht="11.25" customHeight="1">
      <c r="B73" s="2"/>
      <c r="G73" s="13">
        <f>J55*J75-S73</f>
        <v>31.145833333333332</v>
      </c>
      <c r="H73" s="13"/>
      <c r="I73" s="1" t="s">
        <v>8</v>
      </c>
      <c r="S73" s="13">
        <f>J55*J75^2/(2*M77)</f>
        <v>17.604166666666668</v>
      </c>
      <c r="T73" s="13"/>
      <c r="U73" s="1" t="s">
        <v>8</v>
      </c>
      <c r="BN73" s="3"/>
    </row>
    <row r="74" spans="2:66" ht="11.25" customHeight="1">
      <c r="B74" s="2"/>
      <c r="BN74" s="3"/>
    </row>
    <row r="75" spans="2:66" ht="11.25" customHeight="1">
      <c r="B75" s="2"/>
      <c r="J75" s="26">
        <v>3.25</v>
      </c>
      <c r="K75" s="26"/>
      <c r="L75" s="1" t="s">
        <v>0</v>
      </c>
      <c r="Q75" s="13">
        <f>+M77-J75</f>
        <v>1.25</v>
      </c>
      <c r="R75" s="13"/>
      <c r="S75" s="1" t="s">
        <v>0</v>
      </c>
      <c r="BN75" s="3"/>
    </row>
    <row r="76" spans="2:66" ht="11.25" customHeight="1">
      <c r="B76" s="2"/>
      <c r="BN76" s="3"/>
    </row>
    <row r="77" spans="2:66" ht="11.25" customHeight="1">
      <c r="B77" s="2"/>
      <c r="L77" s="1" t="s">
        <v>2</v>
      </c>
      <c r="M77" s="26">
        <v>4.5</v>
      </c>
      <c r="N77" s="26"/>
      <c r="O77" s="1" t="s">
        <v>0</v>
      </c>
      <c r="BN77" s="3"/>
    </row>
    <row r="78" spans="2:66" ht="11.25" customHeight="1">
      <c r="B78" s="2"/>
      <c r="BN78" s="3"/>
    </row>
    <row r="79" spans="2:66" ht="11.25" customHeight="1">
      <c r="B79" s="2"/>
      <c r="AA79" s="13">
        <f>-K80*I100*O100*3/(M102*2*M86)</f>
        <v>-5.3571428571428568</v>
      </c>
      <c r="AB79" s="13"/>
      <c r="AC79" s="13"/>
      <c r="AL79" s="13">
        <f>+AA79</f>
        <v>-5.3571428571428568</v>
      </c>
      <c r="AM79" s="13"/>
      <c r="AN79" s="13"/>
      <c r="BN79" s="3"/>
    </row>
    <row r="80" spans="2:66" ht="11.25" customHeight="1">
      <c r="B80" s="2"/>
      <c r="K80" s="26">
        <v>15</v>
      </c>
      <c r="L80" s="26"/>
      <c r="M80" s="1" t="s">
        <v>8</v>
      </c>
      <c r="BN80" s="3"/>
    </row>
    <row r="81" spans="2:66" ht="11.25" customHeight="1">
      <c r="B81" s="2"/>
      <c r="BN81" s="3"/>
    </row>
    <row r="82" spans="2:66" ht="11.25" customHeight="1">
      <c r="B82" s="2"/>
      <c r="X82" s="13">
        <f>+AA79</f>
        <v>-5.3571428571428568</v>
      </c>
      <c r="Y82" s="13"/>
      <c r="Z82" s="13"/>
      <c r="AP82" s="13">
        <f>+AL79</f>
        <v>-5.3571428571428568</v>
      </c>
      <c r="AQ82" s="13"/>
      <c r="AR82" s="13"/>
      <c r="BN82" s="3"/>
    </row>
    <row r="83" spans="2:66" ht="11.25" customHeight="1">
      <c r="B83" s="2"/>
      <c r="L83" s="5" t="s">
        <v>4</v>
      </c>
      <c r="M83" s="26">
        <v>351</v>
      </c>
      <c r="N83" s="26"/>
      <c r="O83" s="26"/>
      <c r="P83" s="1" t="s">
        <v>3</v>
      </c>
      <c r="BN83" s="3"/>
    </row>
    <row r="84" spans="2:66" ht="11.25" customHeight="1">
      <c r="B84" s="2"/>
      <c r="BN84" s="3"/>
    </row>
    <row r="85" spans="2:66" ht="11.25" customHeight="1">
      <c r="B85" s="2"/>
      <c r="H85" s="24" t="s">
        <v>3</v>
      </c>
      <c r="L85" s="1" t="s">
        <v>6</v>
      </c>
      <c r="M85" s="13">
        <f>+M83/H87*C87/M102</f>
        <v>0.60000000000000009</v>
      </c>
      <c r="N85" s="13"/>
      <c r="S85" s="24" t="s">
        <v>3</v>
      </c>
      <c r="BN85" s="3"/>
    </row>
    <row r="86" spans="2:66" ht="11.25" customHeight="1">
      <c r="B86" s="2"/>
      <c r="C86" s="6" t="s">
        <v>0</v>
      </c>
      <c r="H86" s="24"/>
      <c r="L86" s="1" t="s">
        <v>7</v>
      </c>
      <c r="M86" s="13">
        <f>2*M85+3</f>
        <v>4.2</v>
      </c>
      <c r="N86" s="13"/>
      <c r="S86" s="24"/>
      <c r="AE86" s="13">
        <f>K80*I100*O100/M102+AA79</f>
        <v>9.6428571428571423</v>
      </c>
      <c r="AF86" s="13"/>
      <c r="AG86" s="13"/>
      <c r="BN86" s="3"/>
    </row>
    <row r="87" spans="2:66" ht="11.25" customHeight="1">
      <c r="B87" s="2"/>
      <c r="C87" s="23">
        <v>3.5</v>
      </c>
      <c r="H87" s="23">
        <v>455</v>
      </c>
      <c r="S87" s="24">
        <f>+H87</f>
        <v>455</v>
      </c>
      <c r="BN87" s="3"/>
    </row>
    <row r="88" spans="2:66" ht="11.25" customHeight="1">
      <c r="B88" s="2"/>
      <c r="C88" s="23"/>
      <c r="H88" s="23"/>
      <c r="S88" s="24"/>
      <c r="BN88" s="3"/>
    </row>
    <row r="89" spans="2:66" ht="11.25" customHeight="1">
      <c r="B89" s="2"/>
      <c r="C89" s="23"/>
      <c r="H89" s="23"/>
      <c r="S89" s="24"/>
      <c r="AD89" s="1" t="s">
        <v>39</v>
      </c>
      <c r="BN89" s="3"/>
    </row>
    <row r="90" spans="2:66" ht="11.25" customHeight="1">
      <c r="B90" s="2"/>
      <c r="C90" s="24" t="s">
        <v>1</v>
      </c>
      <c r="H90" s="23"/>
      <c r="S90" s="24"/>
      <c r="BN90" s="3"/>
    </row>
    <row r="91" spans="2:66" ht="11.25" customHeight="1">
      <c r="B91" s="2"/>
      <c r="C91" s="24"/>
      <c r="H91" s="25" t="s">
        <v>4</v>
      </c>
      <c r="S91" s="25" t="s">
        <v>4</v>
      </c>
      <c r="BN91" s="3"/>
    </row>
    <row r="92" spans="2:66" ht="11.25" customHeight="1">
      <c r="B92" s="2"/>
      <c r="H92" s="24"/>
      <c r="S92" s="24"/>
      <c r="BN92" s="3"/>
    </row>
    <row r="93" spans="2:66" ht="11.25" customHeight="1">
      <c r="B93" s="2"/>
      <c r="BN93" s="3"/>
    </row>
    <row r="94" spans="2:66" ht="11.25" customHeight="1">
      <c r="B94" s="2"/>
      <c r="D94" s="13">
        <f>-X82/C87</f>
        <v>1.5306122448979591</v>
      </c>
      <c r="E94" s="13"/>
      <c r="F94" s="1" t="s">
        <v>8</v>
      </c>
      <c r="V94" s="13">
        <f>+D94</f>
        <v>1.5306122448979591</v>
      </c>
      <c r="W94" s="13"/>
      <c r="X94" s="1" t="s">
        <v>8</v>
      </c>
      <c r="BN94" s="3"/>
    </row>
    <row r="95" spans="2:66" ht="11.25" customHeight="1">
      <c r="B95" s="2"/>
      <c r="BN95" s="3"/>
    </row>
    <row r="96" spans="2:66" ht="11.25" customHeight="1">
      <c r="B96" s="2"/>
      <c r="BN96" s="3"/>
    </row>
    <row r="97" spans="2:66" ht="11.25" customHeight="1">
      <c r="B97" s="2"/>
      <c r="BN97" s="3"/>
    </row>
    <row r="98" spans="2:66" ht="11.25" customHeight="1">
      <c r="B98" s="2"/>
      <c r="G98" s="13">
        <f>K80*O100/M102</f>
        <v>10</v>
      </c>
      <c r="H98" s="13"/>
      <c r="I98" s="1" t="s">
        <v>8</v>
      </c>
      <c r="S98" s="13">
        <f>K80*I100/M102</f>
        <v>5</v>
      </c>
      <c r="T98" s="13"/>
      <c r="U98" s="1" t="s">
        <v>8</v>
      </c>
      <c r="BN98" s="3"/>
    </row>
    <row r="99" spans="2:66" ht="11.25" customHeight="1">
      <c r="B99" s="2"/>
      <c r="BN99" s="3"/>
    </row>
    <row r="100" spans="2:66" ht="11.25" customHeight="1">
      <c r="B100" s="2"/>
      <c r="I100" s="26">
        <v>1.5</v>
      </c>
      <c r="J100" s="26"/>
      <c r="K100" s="1" t="s">
        <v>0</v>
      </c>
      <c r="O100" s="13">
        <f>+M102-I100</f>
        <v>3</v>
      </c>
      <c r="P100" s="13"/>
      <c r="Q100" s="1" t="s">
        <v>0</v>
      </c>
      <c r="BN100" s="3"/>
    </row>
    <row r="101" spans="2:66" ht="11.25" customHeight="1">
      <c r="B101" s="2"/>
      <c r="BN101" s="3"/>
    </row>
    <row r="102" spans="2:66" ht="11.25" customHeight="1">
      <c r="B102" s="2"/>
      <c r="L102" s="1" t="s">
        <v>2</v>
      </c>
      <c r="M102" s="26">
        <v>4.5</v>
      </c>
      <c r="N102" s="26"/>
      <c r="O102" s="1" t="s">
        <v>0</v>
      </c>
      <c r="BN102" s="3"/>
    </row>
    <row r="103" spans="2:66" ht="11.25" customHeight="1">
      <c r="B103" s="2"/>
      <c r="BN103" s="3"/>
    </row>
    <row r="104" spans="2:66" ht="11.25" customHeight="1">
      <c r="B104" s="2"/>
      <c r="AA104" s="13">
        <f>-3*K105*I125*(1-M112)/M111</f>
        <v>-9.4285714285714288</v>
      </c>
      <c r="AB104" s="13"/>
      <c r="AC104" s="13"/>
      <c r="AL104" s="13">
        <f>+AA104</f>
        <v>-9.4285714285714288</v>
      </c>
      <c r="AM104" s="13"/>
      <c r="AN104" s="13"/>
      <c r="BN104" s="3"/>
    </row>
    <row r="105" spans="2:66" ht="11.25" customHeight="1">
      <c r="B105" s="2"/>
      <c r="K105" s="26">
        <v>15</v>
      </c>
      <c r="L105" s="26"/>
      <c r="M105" s="1" t="s">
        <v>8</v>
      </c>
      <c r="O105" s="13">
        <f>+K105</f>
        <v>15</v>
      </c>
      <c r="P105" s="13"/>
      <c r="Q105" s="1" t="s">
        <v>8</v>
      </c>
      <c r="BN105" s="3"/>
    </row>
    <row r="106" spans="2:66" ht="11.25" customHeight="1">
      <c r="B106" s="2"/>
      <c r="BN106" s="3"/>
    </row>
    <row r="107" spans="2:66" ht="11.25" customHeight="1">
      <c r="B107" s="2"/>
      <c r="X107" s="13">
        <f>+AA104</f>
        <v>-9.4285714285714288</v>
      </c>
      <c r="Y107" s="13"/>
      <c r="Z107" s="13"/>
      <c r="AP107" s="13">
        <f>+AL104</f>
        <v>-9.4285714285714288</v>
      </c>
      <c r="AQ107" s="13"/>
      <c r="AR107" s="13"/>
      <c r="BN107" s="3"/>
    </row>
    <row r="108" spans="2:66" ht="11.25" customHeight="1">
      <c r="B108" s="2"/>
      <c r="L108" s="5" t="s">
        <v>4</v>
      </c>
      <c r="M108" s="26">
        <v>351</v>
      </c>
      <c r="N108" s="26"/>
      <c r="O108" s="26"/>
      <c r="P108" s="1" t="s">
        <v>3</v>
      </c>
      <c r="BN108" s="3"/>
    </row>
    <row r="109" spans="2:66" ht="11.25" customHeight="1">
      <c r="B109" s="2"/>
      <c r="BN109" s="3"/>
    </row>
    <row r="110" spans="2:66" ht="11.25" customHeight="1">
      <c r="B110" s="2"/>
      <c r="H110" s="24" t="s">
        <v>3</v>
      </c>
      <c r="L110" s="1" t="s">
        <v>6</v>
      </c>
      <c r="M110" s="13">
        <f>+M108/H112*C112/M127</f>
        <v>0.60000000000000009</v>
      </c>
      <c r="N110" s="13"/>
      <c r="S110" s="24" t="s">
        <v>3</v>
      </c>
      <c r="BN110" s="3"/>
    </row>
    <row r="111" spans="2:66" ht="11.25" customHeight="1">
      <c r="B111" s="2"/>
      <c r="C111" s="6" t="s">
        <v>0</v>
      </c>
      <c r="H111" s="24"/>
      <c r="L111" s="1" t="s">
        <v>7</v>
      </c>
      <c r="M111" s="13">
        <f>2*M110+3</f>
        <v>4.2</v>
      </c>
      <c r="N111" s="13"/>
      <c r="S111" s="24"/>
      <c r="AE111" s="13">
        <f>K105*I125+AA104</f>
        <v>8.5714285714285712</v>
      </c>
      <c r="AF111" s="13"/>
      <c r="AG111" s="13"/>
      <c r="AI111" s="13">
        <f>+AE111</f>
        <v>8.5714285714285712</v>
      </c>
      <c r="AJ111" s="13"/>
      <c r="AK111" s="13"/>
      <c r="BN111" s="3"/>
    </row>
    <row r="112" spans="2:66" ht="11.25" customHeight="1">
      <c r="B112" s="2"/>
      <c r="C112" s="23">
        <v>3.5</v>
      </c>
      <c r="H112" s="23">
        <v>455</v>
      </c>
      <c r="L112" s="7" t="s">
        <v>9</v>
      </c>
      <c r="M112" s="13">
        <f>I125/M127</f>
        <v>0.26666666666666666</v>
      </c>
      <c r="N112" s="13"/>
      <c r="S112" s="24">
        <f>+H112</f>
        <v>455</v>
      </c>
      <c r="BN112" s="3"/>
    </row>
    <row r="113" spans="2:66" ht="11.25" customHeight="1">
      <c r="B113" s="2"/>
      <c r="C113" s="23"/>
      <c r="H113" s="23"/>
      <c r="S113" s="24"/>
      <c r="BN113" s="3"/>
    </row>
    <row r="114" spans="2:66" ht="11.25" customHeight="1">
      <c r="B114" s="2"/>
      <c r="C114" s="23"/>
      <c r="H114" s="23"/>
      <c r="S114" s="24"/>
      <c r="BN114" s="3"/>
    </row>
    <row r="115" spans="2:66" ht="11.25" customHeight="1">
      <c r="B115" s="2"/>
      <c r="C115" s="24" t="s">
        <v>1</v>
      </c>
      <c r="H115" s="23"/>
      <c r="S115" s="24"/>
      <c r="AD115" s="1" t="s">
        <v>39</v>
      </c>
      <c r="BN115" s="3"/>
    </row>
    <row r="116" spans="2:66" ht="11.25" customHeight="1">
      <c r="B116" s="2"/>
      <c r="C116" s="24"/>
      <c r="H116" s="25" t="s">
        <v>4</v>
      </c>
      <c r="S116" s="25" t="s">
        <v>4</v>
      </c>
      <c r="BN116" s="3"/>
    </row>
    <row r="117" spans="2:66" ht="11.25" customHeight="1">
      <c r="B117" s="2"/>
      <c r="H117" s="24"/>
      <c r="S117" s="24"/>
      <c r="BN117" s="3"/>
    </row>
    <row r="118" spans="2:66" ht="11.25" customHeight="1">
      <c r="B118" s="2"/>
      <c r="BN118" s="3"/>
    </row>
    <row r="119" spans="2:66" ht="11.25" customHeight="1">
      <c r="B119" s="2"/>
      <c r="D119" s="13">
        <f>-X107/C112</f>
        <v>2.693877551020408</v>
      </c>
      <c r="E119" s="13"/>
      <c r="F119" s="1" t="s">
        <v>8</v>
      </c>
      <c r="V119" s="13">
        <f>+D119</f>
        <v>2.693877551020408</v>
      </c>
      <c r="W119" s="13"/>
      <c r="X119" s="1" t="s">
        <v>8</v>
      </c>
      <c r="BN119" s="3"/>
    </row>
    <row r="120" spans="2:66" ht="11.25" customHeight="1">
      <c r="B120" s="2"/>
      <c r="BN120" s="3"/>
    </row>
    <row r="121" spans="2:66" ht="11.25" customHeight="1">
      <c r="B121" s="2"/>
      <c r="BN121" s="3"/>
    </row>
    <row r="122" spans="2:66" ht="11.25" customHeight="1">
      <c r="B122" s="2"/>
      <c r="BN122" s="3"/>
    </row>
    <row r="123" spans="2:66" ht="11.25" customHeight="1">
      <c r="B123" s="2"/>
      <c r="G123" s="13">
        <f>+K105</f>
        <v>15</v>
      </c>
      <c r="H123" s="13"/>
      <c r="I123" s="1" t="s">
        <v>8</v>
      </c>
      <c r="S123" s="13">
        <f>+G123</f>
        <v>15</v>
      </c>
      <c r="T123" s="13"/>
      <c r="U123" s="1" t="s">
        <v>8</v>
      </c>
      <c r="BN123" s="3"/>
    </row>
    <row r="124" spans="2:66" ht="11.25" customHeight="1">
      <c r="B124" s="2"/>
      <c r="BN124" s="3"/>
    </row>
    <row r="125" spans="2:66" ht="11.25" customHeight="1">
      <c r="B125" s="2"/>
      <c r="I125" s="26">
        <v>1.2</v>
      </c>
      <c r="J125" s="26"/>
      <c r="K125" s="1" t="s">
        <v>0</v>
      </c>
      <c r="M125" s="13">
        <f>+M127-I125-Q125</f>
        <v>2.0999999999999996</v>
      </c>
      <c r="N125" s="13"/>
      <c r="O125" s="1" t="s">
        <v>0</v>
      </c>
      <c r="Q125" s="13">
        <f>+I125</f>
        <v>1.2</v>
      </c>
      <c r="R125" s="13"/>
      <c r="S125" s="1" t="s">
        <v>0</v>
      </c>
      <c r="BN125" s="3"/>
    </row>
    <row r="126" spans="2:66" ht="11.25" customHeight="1">
      <c r="B126" s="2"/>
      <c r="BN126" s="3"/>
    </row>
    <row r="127" spans="2:66" ht="11.25" customHeight="1">
      <c r="B127" s="2"/>
      <c r="L127" s="1" t="s">
        <v>2</v>
      </c>
      <c r="M127" s="26">
        <v>4.5</v>
      </c>
      <c r="N127" s="26"/>
      <c r="O127" s="1" t="s">
        <v>0</v>
      </c>
      <c r="BN127" s="3"/>
    </row>
    <row r="128" spans="2:66" ht="11.25" customHeight="1">
      <c r="B128" s="2"/>
      <c r="BN128" s="3"/>
    </row>
    <row r="129" spans="2:66" ht="11.25" customHeight="1">
      <c r="B129" s="2"/>
      <c r="AL129" s="13">
        <f>E138*C137^2/4*(-M135/(2*M136)-1)</f>
        <v>-49.21875</v>
      </c>
      <c r="AM129" s="13"/>
      <c r="AN129" s="13"/>
      <c r="BN129" s="3"/>
    </row>
    <row r="130" spans="2:66" ht="11.25" customHeight="1">
      <c r="B130" s="2"/>
      <c r="BN130" s="3"/>
    </row>
    <row r="131" spans="2:66" ht="11.25" customHeight="1">
      <c r="B131" s="2"/>
      <c r="BN131" s="3"/>
    </row>
    <row r="132" spans="2:66" ht="11.25" customHeight="1">
      <c r="B132" s="2"/>
      <c r="AD132" s="13">
        <f>E138*C137^2/4*(-M135/(2*M136)+1)</f>
        <v>42.65625</v>
      </c>
      <c r="AE132" s="13"/>
      <c r="AF132" s="13"/>
      <c r="AP132" s="13">
        <f>+AL129</f>
        <v>-49.21875</v>
      </c>
      <c r="AQ132" s="13"/>
      <c r="AR132" s="13"/>
      <c r="BN132" s="3"/>
    </row>
    <row r="133" spans="2:66" ht="11.25" customHeight="1">
      <c r="B133" s="2"/>
      <c r="L133" s="5" t="s">
        <v>4</v>
      </c>
      <c r="M133" s="26">
        <v>351</v>
      </c>
      <c r="N133" s="26"/>
      <c r="O133" s="26"/>
      <c r="P133" s="1" t="s">
        <v>3</v>
      </c>
      <c r="BN133" s="3"/>
    </row>
    <row r="134" spans="2:66" ht="11.25" customHeight="1">
      <c r="B134" s="2"/>
      <c r="BN134" s="3"/>
    </row>
    <row r="135" spans="2:66" ht="11.25" customHeight="1">
      <c r="B135" s="2"/>
      <c r="E135" s="24" t="s">
        <v>5</v>
      </c>
      <c r="H135" s="24" t="s">
        <v>3</v>
      </c>
      <c r="L135" s="1" t="s">
        <v>6</v>
      </c>
      <c r="M135" s="13">
        <f>+M133/H137*C137/M150</f>
        <v>0.60000000000000009</v>
      </c>
      <c r="N135" s="13"/>
      <c r="S135" s="24" t="s">
        <v>3</v>
      </c>
      <c r="BN135" s="3"/>
    </row>
    <row r="136" spans="2:66" ht="11.25" customHeight="1">
      <c r="B136" s="2"/>
      <c r="C136" s="6" t="s">
        <v>0</v>
      </c>
      <c r="E136" s="24"/>
      <c r="H136" s="24"/>
      <c r="L136" s="1" t="s">
        <v>7</v>
      </c>
      <c r="M136" s="13">
        <f>2*M135+3</f>
        <v>4.2</v>
      </c>
      <c r="N136" s="13"/>
      <c r="S136" s="24"/>
      <c r="AF136" s="13">
        <f>E138*AI139*(C137-AI139)/2+AI139*Y137/C137</f>
        <v>47.8125</v>
      </c>
      <c r="AG136" s="13"/>
      <c r="AH136" s="13"/>
      <c r="BN136" s="3"/>
    </row>
    <row r="137" spans="2:66" ht="11.25" customHeight="1">
      <c r="B137" s="2"/>
      <c r="C137" s="23">
        <v>3.5</v>
      </c>
      <c r="E137" s="24"/>
      <c r="H137" s="23">
        <v>455</v>
      </c>
      <c r="S137" s="24">
        <f>+H137</f>
        <v>455</v>
      </c>
      <c r="Y137" s="13">
        <f>+AD132</f>
        <v>42.65625</v>
      </c>
      <c r="Z137" s="13"/>
      <c r="AA137" s="13"/>
      <c r="BN137" s="3"/>
    </row>
    <row r="138" spans="2:66" ht="11.25" customHeight="1">
      <c r="B138" s="2"/>
      <c r="C138" s="23"/>
      <c r="E138" s="23">
        <v>15</v>
      </c>
      <c r="H138" s="23"/>
      <c r="S138" s="24"/>
      <c r="AI138" s="6" t="s">
        <v>0</v>
      </c>
      <c r="BN138" s="3"/>
    </row>
    <row r="139" spans="2:66" ht="11.25" customHeight="1">
      <c r="B139" s="2"/>
      <c r="C139" s="23"/>
      <c r="E139" s="23"/>
      <c r="H139" s="23"/>
      <c r="S139" s="24"/>
      <c r="AH139" s="12" t="str">
        <f>IF(C137&gt;AI139,"","azalt.")</f>
        <v/>
      </c>
      <c r="AI139" s="23">
        <v>3</v>
      </c>
      <c r="BN139" s="3"/>
    </row>
    <row r="140" spans="2:66" ht="11.25" customHeight="1">
      <c r="B140" s="2"/>
      <c r="C140" s="24" t="s">
        <v>1</v>
      </c>
      <c r="E140" s="23"/>
      <c r="H140" s="23"/>
      <c r="S140" s="24"/>
      <c r="AH140" s="12"/>
      <c r="AI140" s="23"/>
      <c r="BN140" s="3"/>
    </row>
    <row r="141" spans="2:66" ht="11.25" customHeight="1">
      <c r="B141" s="2"/>
      <c r="C141" s="24"/>
      <c r="H141" s="25" t="s">
        <v>4</v>
      </c>
      <c r="S141" s="25" t="s">
        <v>4</v>
      </c>
      <c r="AH141" s="12"/>
      <c r="AI141" s="23"/>
      <c r="BN141" s="3"/>
    </row>
    <row r="142" spans="2:66" ht="11.25" customHeight="1">
      <c r="B142" s="2"/>
      <c r="H142" s="24"/>
      <c r="S142" s="24"/>
      <c r="AD142" s="1" t="s">
        <v>39</v>
      </c>
      <c r="BN142" s="3"/>
    </row>
    <row r="143" spans="2:66" ht="11.25" customHeight="1">
      <c r="B143" s="2"/>
      <c r="BN143" s="3"/>
    </row>
    <row r="144" spans="2:66" ht="11.25" customHeight="1">
      <c r="B144" s="2"/>
      <c r="J144" s="13">
        <f>(E138*C137-V144)</f>
        <v>38.4375</v>
      </c>
      <c r="K144" s="13"/>
      <c r="L144" s="1" t="s">
        <v>8</v>
      </c>
      <c r="V144" s="13">
        <f>-AL129/C137</f>
        <v>14.0625</v>
      </c>
      <c r="W144" s="13"/>
      <c r="X144" s="1" t="s">
        <v>8</v>
      </c>
      <c r="BN144" s="3"/>
    </row>
    <row r="145" spans="2:66" ht="11.25" customHeight="1">
      <c r="B145" s="2"/>
      <c r="BN145" s="3"/>
    </row>
    <row r="146" spans="2:66" ht="11.25" customHeight="1">
      <c r="B146" s="2"/>
      <c r="BN146" s="3"/>
    </row>
    <row r="147" spans="2:66" ht="11.25" customHeight="1">
      <c r="B147" s="2"/>
      <c r="BN147" s="3"/>
    </row>
    <row r="148" spans="2:66" ht="11.25" customHeight="1">
      <c r="B148" s="2"/>
      <c r="G148" s="13">
        <f>E138*C137^2/(2*M150)</f>
        <v>20.416666666666668</v>
      </c>
      <c r="H148" s="13"/>
      <c r="I148" s="1" t="s">
        <v>8</v>
      </c>
      <c r="S148" s="13">
        <f>+G148</f>
        <v>20.416666666666668</v>
      </c>
      <c r="T148" s="13"/>
      <c r="U148" s="1" t="s">
        <v>8</v>
      </c>
      <c r="BN148" s="3"/>
    </row>
    <row r="149" spans="2:66" ht="11.25" customHeight="1">
      <c r="B149" s="2"/>
      <c r="BN149" s="3"/>
    </row>
    <row r="150" spans="2:66" ht="11.25" customHeight="1">
      <c r="B150" s="2"/>
      <c r="L150" s="1" t="s">
        <v>2</v>
      </c>
      <c r="M150" s="26">
        <v>4.5</v>
      </c>
      <c r="N150" s="26"/>
      <c r="O150" s="1" t="s">
        <v>0</v>
      </c>
      <c r="BN150" s="3"/>
    </row>
    <row r="151" spans="2:66" ht="11.25" customHeight="1">
      <c r="B151" s="2"/>
      <c r="BN151" s="3"/>
    </row>
    <row r="152" spans="2:66" ht="11.25" customHeight="1">
      <c r="B152" s="2"/>
      <c r="AA152" s="13">
        <f>-F154+AD156</f>
        <v>-16.071428571428569</v>
      </c>
      <c r="AB152" s="13"/>
      <c r="AC152" s="13"/>
      <c r="BN152" s="3"/>
    </row>
    <row r="153" spans="2:66" ht="11.25" customHeight="1">
      <c r="B153" s="2"/>
      <c r="BN153" s="3"/>
    </row>
    <row r="154" spans="2:66" ht="11.25" customHeight="1">
      <c r="B154" s="2"/>
      <c r="F154" s="26">
        <v>25</v>
      </c>
      <c r="G154" s="26"/>
      <c r="H154" s="26"/>
      <c r="I154" s="1" t="s">
        <v>11</v>
      </c>
      <c r="BN154" s="3"/>
    </row>
    <row r="155" spans="2:66" ht="11.25" customHeight="1">
      <c r="B155" s="2"/>
      <c r="BN155" s="3"/>
    </row>
    <row r="156" spans="2:66" ht="11.25" customHeight="1">
      <c r="B156" s="2"/>
      <c r="AD156" s="13">
        <f>3*F154/(2*M160)</f>
        <v>8.9285714285714288</v>
      </c>
      <c r="AE156" s="13"/>
      <c r="AF156" s="13"/>
      <c r="AI156" s="13">
        <f>+AN160</f>
        <v>8.9285714285714288</v>
      </c>
      <c r="AJ156" s="13"/>
      <c r="AK156" s="13"/>
      <c r="BN156" s="3"/>
    </row>
    <row r="157" spans="2:66" ht="11.25" customHeight="1">
      <c r="B157" s="2"/>
      <c r="L157" s="5" t="s">
        <v>4</v>
      </c>
      <c r="M157" s="26">
        <v>351</v>
      </c>
      <c r="N157" s="26"/>
      <c r="O157" s="26"/>
      <c r="P157" s="1" t="s">
        <v>3</v>
      </c>
      <c r="BN157" s="3"/>
    </row>
    <row r="158" spans="2:66" ht="11.25" customHeight="1">
      <c r="B158" s="2"/>
      <c r="BN158" s="3"/>
    </row>
    <row r="159" spans="2:66" ht="11.25" customHeight="1">
      <c r="B159" s="2"/>
      <c r="H159" s="24" t="s">
        <v>3</v>
      </c>
      <c r="L159" s="1" t="s">
        <v>6</v>
      </c>
      <c r="M159" s="13">
        <f>+M157/H161*C161/M174</f>
        <v>0.60000000000000009</v>
      </c>
      <c r="N159" s="13"/>
      <c r="S159" s="24" t="s">
        <v>3</v>
      </c>
      <c r="BN159" s="3"/>
    </row>
    <row r="160" spans="2:66" ht="11.25" customHeight="1">
      <c r="B160" s="2"/>
      <c r="C160" s="6" t="s">
        <v>0</v>
      </c>
      <c r="H160" s="24"/>
      <c r="L160" s="1" t="s">
        <v>7</v>
      </c>
      <c r="M160" s="13">
        <f>2*M159+3</f>
        <v>4.2</v>
      </c>
      <c r="N160" s="13"/>
      <c r="S160" s="24"/>
      <c r="AN160" s="13">
        <f>3*F154/(2*M160)</f>
        <v>8.9285714285714288</v>
      </c>
      <c r="AO160" s="13"/>
      <c r="AP160" s="13"/>
      <c r="BN160" s="3"/>
    </row>
    <row r="161" spans="2:66" ht="11.25" customHeight="1">
      <c r="B161" s="2"/>
      <c r="C161" s="23">
        <v>3.5</v>
      </c>
      <c r="H161" s="23">
        <v>455</v>
      </c>
      <c r="S161" s="24">
        <f>+H161</f>
        <v>455</v>
      </c>
      <c r="BN161" s="3"/>
    </row>
    <row r="162" spans="2:66" ht="11.25" customHeight="1">
      <c r="B162" s="2"/>
      <c r="C162" s="23"/>
      <c r="H162" s="23"/>
      <c r="S162" s="24"/>
      <c r="BN162" s="3"/>
    </row>
    <row r="163" spans="2:66" ht="11.25" customHeight="1">
      <c r="B163" s="2"/>
      <c r="C163" s="23"/>
      <c r="H163" s="23"/>
      <c r="S163" s="24"/>
      <c r="BN163" s="3"/>
    </row>
    <row r="164" spans="2:66" ht="11.25" customHeight="1">
      <c r="B164" s="2"/>
      <c r="C164" s="24" t="s">
        <v>1</v>
      </c>
      <c r="H164" s="23"/>
      <c r="S164" s="24"/>
      <c r="AD164" s="1" t="s">
        <v>39</v>
      </c>
      <c r="BN164" s="3"/>
    </row>
    <row r="165" spans="2:66" ht="11.25" customHeight="1">
      <c r="B165" s="2"/>
      <c r="C165" s="24"/>
      <c r="H165" s="25" t="s">
        <v>4</v>
      </c>
      <c r="S165" s="25" t="s">
        <v>4</v>
      </c>
      <c r="BN165" s="3"/>
    </row>
    <row r="166" spans="2:66" ht="11.25" customHeight="1">
      <c r="B166" s="2"/>
      <c r="H166" s="24"/>
      <c r="S166" s="24"/>
      <c r="BN166" s="3"/>
    </row>
    <row r="167" spans="2:66" ht="11.25" customHeight="1">
      <c r="B167" s="2"/>
      <c r="BN167" s="3"/>
    </row>
    <row r="168" spans="2:66" ht="11.25" customHeight="1">
      <c r="B168" s="2"/>
      <c r="J168" s="13">
        <f>AD156/C161</f>
        <v>2.5510204081632653</v>
      </c>
      <c r="K168" s="13"/>
      <c r="L168" s="1" t="s">
        <v>8</v>
      </c>
      <c r="P168" s="13">
        <f>+J168</f>
        <v>2.5510204081632653</v>
      </c>
      <c r="Q168" s="13"/>
      <c r="R168" s="1" t="s">
        <v>8</v>
      </c>
      <c r="BN168" s="3"/>
    </row>
    <row r="169" spans="2:66" ht="11.25" customHeight="1">
      <c r="B169" s="2"/>
      <c r="BN169" s="3"/>
    </row>
    <row r="170" spans="2:66" ht="11.25" customHeight="1">
      <c r="B170" s="2"/>
      <c r="BN170" s="3"/>
    </row>
    <row r="171" spans="2:66" ht="11.25" customHeight="1">
      <c r="B171" s="2"/>
      <c r="BN171" s="3"/>
    </row>
    <row r="172" spans="2:66" ht="11.25" customHeight="1">
      <c r="B172" s="2"/>
      <c r="G172" s="13">
        <f>F154/M174</f>
        <v>5.5555555555555554</v>
      </c>
      <c r="H172" s="13"/>
      <c r="I172" s="1" t="s">
        <v>8</v>
      </c>
      <c r="S172" s="13">
        <f>+G172</f>
        <v>5.5555555555555554</v>
      </c>
      <c r="T172" s="13"/>
      <c r="U172" s="1" t="s">
        <v>8</v>
      </c>
      <c r="BN172" s="3"/>
    </row>
    <row r="173" spans="2:66" ht="11.25" customHeight="1">
      <c r="B173" s="2"/>
      <c r="BN173" s="3"/>
    </row>
    <row r="174" spans="2:66" ht="11.25" customHeight="1">
      <c r="B174" s="2"/>
      <c r="L174" s="1" t="s">
        <v>2</v>
      </c>
      <c r="M174" s="26">
        <v>4.5</v>
      </c>
      <c r="N174" s="26"/>
      <c r="O174" s="1" t="s">
        <v>0</v>
      </c>
      <c r="BN174" s="3"/>
    </row>
    <row r="175" spans="2:66" ht="11.25" customHeight="1">
      <c r="B175" s="2"/>
      <c r="BN175" s="3"/>
    </row>
    <row r="176" spans="2:66" ht="11.25" customHeight="1">
      <c r="B176" s="2"/>
      <c r="AL176" s="13">
        <f>+AP179</f>
        <v>-17.190000000000001</v>
      </c>
      <c r="AM176" s="13"/>
      <c r="AN176" s="13"/>
      <c r="BN176" s="3"/>
    </row>
    <row r="177" spans="2:66" ht="11.25" customHeight="1">
      <c r="B177" s="2"/>
      <c r="BN177" s="3"/>
    </row>
    <row r="178" spans="2:66" ht="11.25" customHeight="1">
      <c r="B178" s="2"/>
      <c r="BN178" s="3"/>
    </row>
    <row r="179" spans="2:66" ht="11.25" customHeight="1">
      <c r="B179" s="2"/>
      <c r="E179" s="6" t="s">
        <v>0</v>
      </c>
      <c r="AC179" s="13">
        <f>D183*E187/2*(-(1+M184)*M185*M182/M183+1)</f>
        <v>14.31</v>
      </c>
      <c r="AD179" s="13"/>
      <c r="AE179" s="13"/>
      <c r="AP179" s="13">
        <f>D183*E187/2*(-(1+M184)*M185*M182/M183-1)</f>
        <v>-17.190000000000001</v>
      </c>
      <c r="AQ179" s="13"/>
      <c r="AR179" s="13"/>
      <c r="BN179" s="3"/>
    </row>
    <row r="180" spans="2:66" ht="11.25" customHeight="1">
      <c r="B180" s="2"/>
      <c r="E180" s="24">
        <f>+C184-E187</f>
        <v>1.4</v>
      </c>
      <c r="L180" s="5" t="s">
        <v>4</v>
      </c>
      <c r="M180" s="26">
        <v>351</v>
      </c>
      <c r="N180" s="26"/>
      <c r="O180" s="26"/>
      <c r="P180" s="1" t="s">
        <v>3</v>
      </c>
      <c r="BN180" s="3"/>
    </row>
    <row r="181" spans="2:66" ht="11.25" customHeight="1">
      <c r="B181" s="2"/>
      <c r="E181" s="24"/>
      <c r="BN181" s="3"/>
    </row>
    <row r="182" spans="2:66" ht="11.25" customHeight="1">
      <c r="B182" s="2"/>
      <c r="E182" s="24"/>
      <c r="H182" s="24" t="s">
        <v>3</v>
      </c>
      <c r="L182" s="1" t="s">
        <v>6</v>
      </c>
      <c r="M182" s="13">
        <f>+M180/H184*C184/M197</f>
        <v>0.60000000000000009</v>
      </c>
      <c r="N182" s="13"/>
      <c r="S182" s="24" t="s">
        <v>3</v>
      </c>
      <c r="Y182" s="13">
        <f>+AC179</f>
        <v>14.31</v>
      </c>
      <c r="Z182" s="13"/>
      <c r="AA182" s="13"/>
      <c r="BN182" s="3"/>
    </row>
    <row r="183" spans="2:66" ht="11.25" customHeight="1">
      <c r="B183" s="2"/>
      <c r="C183" s="6" t="s">
        <v>0</v>
      </c>
      <c r="D183" s="26">
        <v>15</v>
      </c>
      <c r="E183" s="26"/>
      <c r="F183" s="1" t="s">
        <v>8</v>
      </c>
      <c r="H183" s="24"/>
      <c r="L183" s="1" t="s">
        <v>7</v>
      </c>
      <c r="M183" s="13">
        <f>2*M182+3</f>
        <v>4.2</v>
      </c>
      <c r="N183" s="13"/>
      <c r="S183" s="24"/>
      <c r="BN183" s="3"/>
    </row>
    <row r="184" spans="2:66" ht="11.25" customHeight="1">
      <c r="B184" s="2"/>
      <c r="C184" s="23">
        <v>3.5</v>
      </c>
      <c r="H184" s="23">
        <v>455</v>
      </c>
      <c r="L184" s="7" t="s">
        <v>9</v>
      </c>
      <c r="M184" s="13">
        <f>+E187/C184</f>
        <v>0.6</v>
      </c>
      <c r="N184" s="13"/>
      <c r="S184" s="24">
        <f>+H184</f>
        <v>455</v>
      </c>
      <c r="AF184" s="13">
        <f>M184*(D183*E180+AC179)</f>
        <v>21.186</v>
      </c>
      <c r="AG184" s="13"/>
      <c r="AH184" s="13"/>
      <c r="BN184" s="3"/>
    </row>
    <row r="185" spans="2:66" ht="11.25" customHeight="1">
      <c r="B185" s="2"/>
      <c r="C185" s="23"/>
      <c r="H185" s="23"/>
      <c r="L185" s="5" t="s">
        <v>10</v>
      </c>
      <c r="M185" s="13">
        <f>+E180/C184</f>
        <v>0.39999999999999997</v>
      </c>
      <c r="N185" s="13"/>
      <c r="S185" s="24"/>
      <c r="BN185" s="3"/>
    </row>
    <row r="186" spans="2:66" ht="11.25" customHeight="1">
      <c r="B186" s="2"/>
      <c r="C186" s="23"/>
      <c r="E186" s="6" t="s">
        <v>0</v>
      </c>
      <c r="H186" s="23"/>
      <c r="S186" s="24"/>
      <c r="BN186" s="3"/>
    </row>
    <row r="187" spans="2:66" ht="11.25" customHeight="1">
      <c r="B187" s="2"/>
      <c r="C187" s="24" t="s">
        <v>1</v>
      </c>
      <c r="E187" s="23">
        <v>2.1</v>
      </c>
      <c r="H187" s="23"/>
      <c r="S187" s="24"/>
      <c r="BN187" s="3"/>
    </row>
    <row r="188" spans="2:66" ht="11.25" customHeight="1">
      <c r="B188" s="2"/>
      <c r="C188" s="24"/>
      <c r="E188" s="23"/>
      <c r="H188" s="25" t="s">
        <v>4</v>
      </c>
      <c r="S188" s="25" t="s">
        <v>4</v>
      </c>
      <c r="AD188" s="1" t="s">
        <v>39</v>
      </c>
      <c r="BN188" s="3"/>
    </row>
    <row r="189" spans="2:66" ht="11.25" customHeight="1">
      <c r="B189" s="2"/>
      <c r="E189" s="23"/>
      <c r="H189" s="24"/>
      <c r="S189" s="24"/>
      <c r="BN189" s="3"/>
    </row>
    <row r="190" spans="2:66" ht="11.25" customHeight="1">
      <c r="B190" s="2"/>
      <c r="BN190" s="3"/>
    </row>
    <row r="191" spans="2:66" ht="11.25" customHeight="1">
      <c r="B191" s="2"/>
      <c r="J191" s="13">
        <f>(D183-V191)</f>
        <v>10.088571428571427</v>
      </c>
      <c r="K191" s="13"/>
      <c r="L191" s="1" t="s">
        <v>8</v>
      </c>
      <c r="V191" s="13">
        <f>-AP179/C184</f>
        <v>4.9114285714285719</v>
      </c>
      <c r="W191" s="13"/>
      <c r="X191" s="1" t="s">
        <v>8</v>
      </c>
      <c r="BN191" s="3"/>
    </row>
    <row r="192" spans="2:66" ht="11.25" customHeight="1">
      <c r="B192" s="2"/>
      <c r="BN192" s="3"/>
    </row>
    <row r="193" spans="2:66" ht="11.25" customHeight="1">
      <c r="B193" s="2"/>
      <c r="BN193" s="3"/>
    </row>
    <row r="194" spans="2:66" ht="11.25" customHeight="1">
      <c r="B194" s="2"/>
      <c r="BN194" s="3"/>
    </row>
    <row r="195" spans="2:66" ht="11.25" customHeight="1">
      <c r="B195" s="2"/>
      <c r="G195" s="13">
        <f>+D183*E187/M197</f>
        <v>7</v>
      </c>
      <c r="H195" s="13"/>
      <c r="I195" s="1" t="s">
        <v>8</v>
      </c>
      <c r="S195" s="13">
        <f>+G195</f>
        <v>7</v>
      </c>
      <c r="T195" s="13"/>
      <c r="U195" s="1" t="s">
        <v>8</v>
      </c>
      <c r="BN195" s="3"/>
    </row>
    <row r="196" spans="2:66" ht="11.25" customHeight="1">
      <c r="B196" s="2"/>
      <c r="BN196" s="3"/>
    </row>
    <row r="197" spans="2:66" ht="11.25" customHeight="1">
      <c r="B197" s="2"/>
      <c r="L197" s="1" t="s">
        <v>2</v>
      </c>
      <c r="M197" s="26">
        <v>4.5</v>
      </c>
      <c r="N197" s="26"/>
      <c r="O197" s="1" t="s">
        <v>0</v>
      </c>
      <c r="BN197" s="3"/>
    </row>
    <row r="198" spans="2:66" ht="11.25" customHeight="1">
      <c r="B198" s="2"/>
      <c r="BN198" s="3"/>
    </row>
    <row r="199" spans="2:66" ht="11.25" customHeight="1">
      <c r="B199" s="2"/>
      <c r="AL199" s="13">
        <f>+AP202</f>
        <v>-5.9314285714285715</v>
      </c>
      <c r="AM199" s="13"/>
      <c r="AN199" s="13"/>
      <c r="BN199" s="3"/>
    </row>
    <row r="200" spans="2:66" ht="11.25" customHeight="1">
      <c r="B200" s="2"/>
      <c r="H200" s="26">
        <v>0.8</v>
      </c>
      <c r="I200" s="26"/>
      <c r="J200" s="1" t="s">
        <v>0</v>
      </c>
      <c r="BN200" s="3"/>
    </row>
    <row r="201" spans="2:66" ht="11.25" customHeight="1">
      <c r="B201" s="2"/>
      <c r="BN201" s="3"/>
    </row>
    <row r="202" spans="2:66" ht="11.25" customHeight="1">
      <c r="B202" s="2"/>
      <c r="AC202" s="13">
        <f>I205*H200/2*((3*M207^2-1)*M205/M206+1)</f>
        <v>6.0685714285714276</v>
      </c>
      <c r="AD202" s="13"/>
      <c r="AE202" s="13"/>
      <c r="AP202" s="13">
        <f>I205*H200/2*((3*M207^2-1)*M205/M206-1)</f>
        <v>-5.9314285714285715</v>
      </c>
      <c r="AQ202" s="13"/>
      <c r="AR202" s="13"/>
      <c r="BN202" s="3"/>
    </row>
    <row r="203" spans="2:66" ht="11.25" customHeight="1">
      <c r="B203" s="2"/>
      <c r="E203" s="6" t="s">
        <v>0</v>
      </c>
      <c r="L203" s="5" t="s">
        <v>4</v>
      </c>
      <c r="M203" s="26">
        <v>351</v>
      </c>
      <c r="N203" s="26"/>
      <c r="O203" s="26"/>
      <c r="P203" s="1" t="s">
        <v>3</v>
      </c>
      <c r="BN203" s="3"/>
    </row>
    <row r="204" spans="2:66" ht="11.25" customHeight="1">
      <c r="B204" s="2"/>
      <c r="E204" s="24">
        <f>+C207-E210</f>
        <v>1.4</v>
      </c>
      <c r="BN204" s="3"/>
    </row>
    <row r="205" spans="2:66" ht="11.25" customHeight="1">
      <c r="B205" s="2"/>
      <c r="E205" s="24"/>
      <c r="H205" s="24" t="s">
        <v>3</v>
      </c>
      <c r="I205" s="26">
        <v>15</v>
      </c>
      <c r="J205" s="26"/>
      <c r="K205" s="1" t="s">
        <v>8</v>
      </c>
      <c r="L205" s="1" t="s">
        <v>6</v>
      </c>
      <c r="M205" s="13">
        <f>+M203/H207*C207/M220</f>
        <v>0.60000000000000009</v>
      </c>
      <c r="N205" s="13"/>
      <c r="S205" s="24" t="s">
        <v>3</v>
      </c>
      <c r="W205" s="13">
        <f>-D214*M207</f>
        <v>-1.0168163265306123</v>
      </c>
      <c r="X205" s="13"/>
      <c r="Y205" s="13"/>
      <c r="BN205" s="3"/>
    </row>
    <row r="206" spans="2:66" ht="11.25" customHeight="1">
      <c r="B206" s="2"/>
      <c r="C206" s="6" t="s">
        <v>0</v>
      </c>
      <c r="E206" s="24"/>
      <c r="H206" s="24"/>
      <c r="L206" s="1" t="s">
        <v>7</v>
      </c>
      <c r="M206" s="13">
        <f>2*M205+3</f>
        <v>4.2</v>
      </c>
      <c r="N206" s="13"/>
      <c r="S206" s="24"/>
      <c r="AE206" s="13">
        <f>I205*H200-E210*D214</f>
        <v>8.4411428571428573</v>
      </c>
      <c r="AF206" s="13"/>
      <c r="AG206" s="13"/>
      <c r="BN206" s="3"/>
    </row>
    <row r="207" spans="2:66" ht="11.25" customHeight="1">
      <c r="B207" s="2"/>
      <c r="C207" s="23">
        <v>3.5</v>
      </c>
      <c r="H207" s="23">
        <v>455</v>
      </c>
      <c r="L207" s="7" t="s">
        <v>9</v>
      </c>
      <c r="M207" s="13">
        <f>+E210/C207</f>
        <v>0.6</v>
      </c>
      <c r="N207" s="13"/>
      <c r="S207" s="24">
        <f>+H207</f>
        <v>455</v>
      </c>
      <c r="BN207" s="3"/>
    </row>
    <row r="208" spans="2:66" ht="11.25" customHeight="1">
      <c r="B208" s="2"/>
      <c r="C208" s="23"/>
      <c r="H208" s="23"/>
      <c r="S208" s="24"/>
      <c r="AB208" s="13">
        <f>+AC202</f>
        <v>6.0685714285714276</v>
      </c>
      <c r="AC208" s="13"/>
      <c r="AD208" s="13"/>
      <c r="BN208" s="3"/>
    </row>
    <row r="209" spans="2:66" ht="11.25" customHeight="1">
      <c r="B209" s="2"/>
      <c r="C209" s="23"/>
      <c r="E209" s="6" t="s">
        <v>0</v>
      </c>
      <c r="H209" s="23"/>
      <c r="S209" s="24"/>
      <c r="BN209" s="3"/>
    </row>
    <row r="210" spans="2:66" ht="11.25" customHeight="1">
      <c r="B210" s="2"/>
      <c r="C210" s="24" t="s">
        <v>1</v>
      </c>
      <c r="E210" s="23">
        <v>2.1</v>
      </c>
      <c r="H210" s="23"/>
      <c r="S210" s="24"/>
      <c r="AD210" s="1" t="s">
        <v>39</v>
      </c>
      <c r="BN210" s="3"/>
    </row>
    <row r="211" spans="2:66" ht="11.25" customHeight="1">
      <c r="B211" s="2"/>
      <c r="C211" s="24"/>
      <c r="E211" s="23"/>
      <c r="H211" s="25" t="s">
        <v>4</v>
      </c>
      <c r="S211" s="25" t="s">
        <v>4</v>
      </c>
      <c r="BN211" s="3"/>
    </row>
    <row r="212" spans="2:66" ht="11.25" customHeight="1">
      <c r="B212" s="2"/>
      <c r="E212" s="23"/>
      <c r="H212" s="24"/>
      <c r="S212" s="24"/>
      <c r="BN212" s="3"/>
    </row>
    <row r="213" spans="2:66" ht="11.25" customHeight="1">
      <c r="B213" s="2"/>
      <c r="BN213" s="3"/>
    </row>
    <row r="214" spans="2:66" ht="11.25" customHeight="1">
      <c r="B214" s="2"/>
      <c r="D214" s="13">
        <f>-AP202/C207</f>
        <v>1.6946938775510205</v>
      </c>
      <c r="E214" s="13"/>
      <c r="F214" s="1" t="s">
        <v>8</v>
      </c>
      <c r="V214" s="13">
        <f>+D214</f>
        <v>1.6946938775510205</v>
      </c>
      <c r="W214" s="13"/>
      <c r="X214" s="1" t="s">
        <v>8</v>
      </c>
      <c r="BN214" s="3"/>
    </row>
    <row r="215" spans="2:66" ht="11.25" customHeight="1">
      <c r="B215" s="2"/>
      <c r="BN215" s="3"/>
    </row>
    <row r="216" spans="2:66" ht="11.25" customHeight="1">
      <c r="B216" s="2"/>
      <c r="BN216" s="3"/>
    </row>
    <row r="217" spans="2:66" ht="11.25" customHeight="1">
      <c r="B217" s="2"/>
      <c r="BN217" s="3"/>
    </row>
    <row r="218" spans="2:66" ht="11.25" customHeight="1">
      <c r="B218" s="2"/>
      <c r="G218" s="13">
        <f>+I205-S218</f>
        <v>12.333333333333334</v>
      </c>
      <c r="H218" s="13"/>
      <c r="I218" s="1" t="s">
        <v>8</v>
      </c>
      <c r="S218" s="13">
        <f>I205*H200/M220</f>
        <v>2.6666666666666665</v>
      </c>
      <c r="T218" s="13"/>
      <c r="U218" s="1" t="s">
        <v>8</v>
      </c>
      <c r="BN218" s="3"/>
    </row>
    <row r="219" spans="2:66" ht="11.25" customHeight="1">
      <c r="B219" s="2"/>
      <c r="BN219" s="3"/>
    </row>
    <row r="220" spans="2:66" ht="11.25" customHeight="1">
      <c r="B220" s="2"/>
      <c r="L220" s="1" t="s">
        <v>2</v>
      </c>
      <c r="M220" s="26">
        <v>4.5</v>
      </c>
      <c r="N220" s="26"/>
      <c r="O220" s="1" t="s">
        <v>0</v>
      </c>
      <c r="BN220" s="3"/>
    </row>
    <row r="221" spans="2:66" ht="11.25" customHeight="1">
      <c r="B221" s="2"/>
      <c r="BN221" s="3"/>
    </row>
    <row r="222" spans="2:66" ht="11.25" customHeight="1">
      <c r="B222" s="2"/>
      <c r="AL222" s="13">
        <f>+AP225</f>
        <v>-26.25</v>
      </c>
      <c r="AM222" s="13"/>
      <c r="AN222" s="13"/>
      <c r="BN222" s="3"/>
    </row>
    <row r="223" spans="2:66" ht="11.25" customHeight="1">
      <c r="B223" s="2"/>
      <c r="BN223" s="3"/>
    </row>
    <row r="224" spans="2:66" ht="11.25" customHeight="1">
      <c r="B224" s="2"/>
      <c r="BN224" s="3"/>
    </row>
    <row r="225" spans="2:66" ht="11.25" customHeight="1">
      <c r="B225" s="2"/>
      <c r="D225" s="26">
        <v>15</v>
      </c>
      <c r="E225" s="26"/>
      <c r="F225" s="1" t="s">
        <v>8</v>
      </c>
      <c r="AD225" s="13">
        <f>+Y228</f>
        <v>26.25</v>
      </c>
      <c r="AE225" s="13"/>
      <c r="AF225" s="13"/>
      <c r="AP225" s="13">
        <f>-D225*C230/2</f>
        <v>-26.25</v>
      </c>
      <c r="AQ225" s="13"/>
      <c r="AR225" s="13"/>
      <c r="BN225" s="3"/>
    </row>
    <row r="226" spans="2:66" ht="11.25" customHeight="1">
      <c r="B226" s="2"/>
      <c r="L226" s="5" t="s">
        <v>4</v>
      </c>
      <c r="M226" s="26">
        <v>351</v>
      </c>
      <c r="N226" s="26"/>
      <c r="O226" s="26"/>
      <c r="P226" s="1" t="s">
        <v>3</v>
      </c>
      <c r="BN226" s="3"/>
    </row>
    <row r="227" spans="2:66" ht="11.25" customHeight="1">
      <c r="B227" s="2"/>
      <c r="BN227" s="3"/>
    </row>
    <row r="228" spans="2:66" ht="11.25" customHeight="1">
      <c r="B228" s="2"/>
      <c r="H228" s="24" t="s">
        <v>3</v>
      </c>
      <c r="L228" s="1" t="s">
        <v>6</v>
      </c>
      <c r="M228" s="13">
        <f>+M226/H230*C230/M243</f>
        <v>0.60000000000000009</v>
      </c>
      <c r="N228" s="13"/>
      <c r="S228" s="24" t="s">
        <v>3</v>
      </c>
      <c r="Y228" s="13">
        <f>+D225*C230/2</f>
        <v>26.25</v>
      </c>
      <c r="Z228" s="13"/>
      <c r="AA228" s="13"/>
      <c r="BN228" s="3"/>
    </row>
    <row r="229" spans="2:66" ht="11.25" customHeight="1">
      <c r="B229" s="2"/>
      <c r="C229" s="6" t="s">
        <v>0</v>
      </c>
      <c r="H229" s="24"/>
      <c r="L229" s="1" t="s">
        <v>7</v>
      </c>
      <c r="M229" s="13">
        <f>2*M228+3</f>
        <v>4.2</v>
      </c>
      <c r="N229" s="13"/>
      <c r="S229" s="24"/>
      <c r="BN229" s="3"/>
    </row>
    <row r="230" spans="2:66" ht="11.25" customHeight="1">
      <c r="B230" s="2"/>
      <c r="C230" s="23">
        <v>3.5</v>
      </c>
      <c r="H230" s="23">
        <v>455</v>
      </c>
      <c r="S230" s="24">
        <f>+H230</f>
        <v>455</v>
      </c>
      <c r="BN230" s="3"/>
    </row>
    <row r="231" spans="2:66" ht="11.25" customHeight="1">
      <c r="B231" s="2"/>
      <c r="C231" s="23"/>
      <c r="H231" s="23"/>
      <c r="S231" s="24"/>
      <c r="BN231" s="3"/>
    </row>
    <row r="232" spans="2:66" ht="11.25" customHeight="1">
      <c r="B232" s="2"/>
      <c r="C232" s="23"/>
      <c r="H232" s="23"/>
      <c r="S232" s="24"/>
      <c r="BN232" s="3"/>
    </row>
    <row r="233" spans="2:66" ht="11.25" customHeight="1">
      <c r="B233" s="2"/>
      <c r="C233" s="24" t="s">
        <v>1</v>
      </c>
      <c r="H233" s="23"/>
      <c r="S233" s="24"/>
      <c r="AD233" s="1" t="s">
        <v>39</v>
      </c>
      <c r="BN233" s="3"/>
    </row>
    <row r="234" spans="2:66" ht="11.25" customHeight="1">
      <c r="B234" s="2"/>
      <c r="C234" s="24"/>
      <c r="H234" s="25" t="s">
        <v>4</v>
      </c>
      <c r="S234" s="25" t="s">
        <v>4</v>
      </c>
      <c r="BN234" s="3"/>
    </row>
    <row r="235" spans="2:66" ht="11.25" customHeight="1">
      <c r="B235" s="2"/>
      <c r="H235" s="24"/>
      <c r="S235" s="24"/>
      <c r="BN235" s="3"/>
    </row>
    <row r="236" spans="2:66" ht="11.25" customHeight="1">
      <c r="B236" s="2"/>
      <c r="BN236" s="3"/>
    </row>
    <row r="237" spans="2:66" ht="11.25" customHeight="1">
      <c r="B237" s="2"/>
      <c r="J237" s="13">
        <f>+D225/2</f>
        <v>7.5</v>
      </c>
      <c r="K237" s="13"/>
      <c r="L237" s="1" t="s">
        <v>8</v>
      </c>
      <c r="V237" s="13">
        <f>+J237</f>
        <v>7.5</v>
      </c>
      <c r="W237" s="13"/>
      <c r="X237" s="1" t="s">
        <v>8</v>
      </c>
      <c r="BN237" s="3"/>
    </row>
    <row r="238" spans="2:66" ht="11.25" customHeight="1">
      <c r="B238" s="2"/>
      <c r="BN238" s="3"/>
    </row>
    <row r="239" spans="2:66" ht="11.25" customHeight="1">
      <c r="B239" s="2"/>
      <c r="BN239" s="3"/>
    </row>
    <row r="240" spans="2:66" ht="11.25" customHeight="1">
      <c r="B240" s="2"/>
      <c r="BN240" s="3"/>
    </row>
    <row r="241" spans="2:66" ht="11.25" customHeight="1">
      <c r="B241" s="2"/>
      <c r="G241" s="13">
        <f>+D225*C230/M243</f>
        <v>11.666666666666666</v>
      </c>
      <c r="H241" s="13"/>
      <c r="I241" s="1" t="s">
        <v>8</v>
      </c>
      <c r="S241" s="13">
        <f>+G241</f>
        <v>11.666666666666666</v>
      </c>
      <c r="T241" s="13"/>
      <c r="U241" s="1" t="s">
        <v>8</v>
      </c>
      <c r="BN241" s="3"/>
    </row>
    <row r="242" spans="2:66" ht="11.25" customHeight="1">
      <c r="B242" s="2"/>
      <c r="BN242" s="3"/>
    </row>
    <row r="243" spans="2:66" ht="11.25" customHeight="1">
      <c r="B243" s="2"/>
      <c r="L243" s="1" t="s">
        <v>2</v>
      </c>
      <c r="M243" s="26">
        <v>4.5</v>
      </c>
      <c r="N243" s="26"/>
      <c r="O243" s="1" t="s">
        <v>0</v>
      </c>
      <c r="BN243" s="3"/>
    </row>
    <row r="244" spans="2:66" ht="11.25" customHeight="1">
      <c r="B244" s="2"/>
      <c r="BN244" s="3"/>
    </row>
    <row r="245" spans="2:66" ht="11.25" customHeight="1">
      <c r="B245" s="2"/>
      <c r="AL245" s="13">
        <f>+AP248</f>
        <v>-16.84375</v>
      </c>
      <c r="AM245" s="13"/>
      <c r="AN245" s="13"/>
      <c r="BN245" s="3"/>
    </row>
    <row r="246" spans="2:66" ht="11.25" customHeight="1">
      <c r="B246" s="2"/>
      <c r="BN246" s="3"/>
    </row>
    <row r="247" spans="2:66" ht="11.25" customHeight="1">
      <c r="B247" s="2"/>
      <c r="BN247" s="3"/>
    </row>
    <row r="248" spans="2:66" ht="11.25" customHeight="1">
      <c r="B248" s="2"/>
      <c r="AD248" s="13">
        <f>D258*C253^2/12*(-7*M251/(10*M252)+1)</f>
        <v>13.78125</v>
      </c>
      <c r="AE248" s="13"/>
      <c r="AF248" s="13"/>
      <c r="AP248" s="13">
        <f>D258*C253^2/12*(-7*M251/(10*M252)-1)</f>
        <v>-16.84375</v>
      </c>
      <c r="AQ248" s="13"/>
      <c r="AR248" s="13"/>
      <c r="BN248" s="3"/>
    </row>
    <row r="249" spans="2:66" ht="11.25" customHeight="1">
      <c r="B249" s="2"/>
      <c r="L249" s="5" t="s">
        <v>4</v>
      </c>
      <c r="M249" s="26">
        <v>351</v>
      </c>
      <c r="N249" s="26"/>
      <c r="O249" s="26"/>
      <c r="P249" s="1" t="s">
        <v>3</v>
      </c>
      <c r="BN249" s="3"/>
    </row>
    <row r="250" spans="2:66" ht="11.25" customHeight="1">
      <c r="B250" s="2"/>
      <c r="BN250" s="3"/>
    </row>
    <row r="251" spans="2:66" ht="11.25" customHeight="1">
      <c r="B251" s="2"/>
      <c r="H251" s="24" t="s">
        <v>3</v>
      </c>
      <c r="L251" s="1" t="s">
        <v>6</v>
      </c>
      <c r="M251" s="13">
        <f>+M249/H253*C253/M266</f>
        <v>0.60000000000000009</v>
      </c>
      <c r="N251" s="13"/>
      <c r="S251" s="24" t="s">
        <v>3</v>
      </c>
      <c r="Y251" s="13">
        <f>+AD248</f>
        <v>13.78125</v>
      </c>
      <c r="Z251" s="13"/>
      <c r="AA251" s="13"/>
      <c r="BN251" s="3"/>
    </row>
    <row r="252" spans="2:66" ht="11.25" customHeight="1">
      <c r="B252" s="2"/>
      <c r="C252" s="6" t="s">
        <v>0</v>
      </c>
      <c r="H252" s="24"/>
      <c r="L252" s="1" t="s">
        <v>7</v>
      </c>
      <c r="M252" s="13">
        <f>2*M251+3</f>
        <v>4.2</v>
      </c>
      <c r="N252" s="13"/>
      <c r="S252" s="24"/>
      <c r="BN252" s="3"/>
    </row>
    <row r="253" spans="2:66" ht="11.25" customHeight="1">
      <c r="B253" s="2"/>
      <c r="C253" s="23">
        <v>3.5</v>
      </c>
      <c r="H253" s="23">
        <v>455</v>
      </c>
      <c r="S253" s="24">
        <f>+H253</f>
        <v>455</v>
      </c>
      <c r="AF253" s="13">
        <f>D258*C253^2/6*(D258*(C253-AH256)/C253)+AH256/C253*AD248</f>
        <v>77.4375</v>
      </c>
      <c r="AG253" s="13"/>
      <c r="AH253" s="13"/>
      <c r="BN253" s="3"/>
    </row>
    <row r="254" spans="2:66" ht="11.25" customHeight="1">
      <c r="B254" s="2"/>
      <c r="C254" s="23"/>
      <c r="H254" s="23"/>
      <c r="S254" s="24"/>
      <c r="BN254" s="3"/>
    </row>
    <row r="255" spans="2:66" ht="11.25" customHeight="1">
      <c r="B255" s="2"/>
      <c r="C255" s="23"/>
      <c r="D255" s="24" t="s">
        <v>5</v>
      </c>
      <c r="H255" s="23"/>
      <c r="S255" s="24"/>
      <c r="AH255" s="6" t="s">
        <v>0</v>
      </c>
      <c r="BN255" s="3"/>
    </row>
    <row r="256" spans="2:66" ht="11.25" customHeight="1">
      <c r="B256" s="2"/>
      <c r="C256" s="24" t="s">
        <v>1</v>
      </c>
      <c r="D256" s="24"/>
      <c r="H256" s="23"/>
      <c r="S256" s="24"/>
      <c r="AG256" s="12" t="str">
        <f>IF(C253&gt;AH256,"","azalt.")</f>
        <v/>
      </c>
      <c r="AH256" s="23">
        <v>3</v>
      </c>
      <c r="BN256" s="3"/>
    </row>
    <row r="257" spans="2:66" ht="11.25" customHeight="1">
      <c r="B257" s="2"/>
      <c r="C257" s="24"/>
      <c r="D257" s="24"/>
      <c r="H257" s="25" t="s">
        <v>4</v>
      </c>
      <c r="S257" s="25" t="s">
        <v>4</v>
      </c>
      <c r="AG257" s="12"/>
      <c r="AH257" s="23"/>
      <c r="BN257" s="3"/>
    </row>
    <row r="258" spans="2:66" ht="11.25" customHeight="1">
      <c r="B258" s="2"/>
      <c r="D258" s="23">
        <v>15</v>
      </c>
      <c r="H258" s="24"/>
      <c r="S258" s="24"/>
      <c r="AG258" s="12"/>
      <c r="AH258" s="23"/>
      <c r="BN258" s="3"/>
    </row>
    <row r="259" spans="2:66" ht="11.25" customHeight="1">
      <c r="B259" s="2"/>
      <c r="D259" s="23"/>
      <c r="AF259" s="1" t="s">
        <v>39</v>
      </c>
      <c r="BN259" s="3"/>
    </row>
    <row r="260" spans="2:66" ht="11.25" customHeight="1">
      <c r="B260" s="2"/>
      <c r="D260" s="23"/>
      <c r="J260" s="13">
        <f>(D258*C253/2-V260)</f>
        <v>21.4375</v>
      </c>
      <c r="K260" s="13"/>
      <c r="L260" s="1" t="s">
        <v>8</v>
      </c>
      <c r="V260" s="13">
        <f>-AP248/C253</f>
        <v>4.8125</v>
      </c>
      <c r="W260" s="13"/>
      <c r="X260" s="1" t="s">
        <v>8</v>
      </c>
      <c r="BN260" s="3"/>
    </row>
    <row r="261" spans="2:66" ht="11.25" customHeight="1">
      <c r="B261" s="2"/>
      <c r="BN261" s="3"/>
    </row>
    <row r="262" spans="2:66" ht="11.25" customHeight="1">
      <c r="B262" s="2"/>
      <c r="BN262" s="3"/>
    </row>
    <row r="263" spans="2:66" ht="11.25" customHeight="1">
      <c r="B263" s="2"/>
      <c r="BN263" s="3"/>
    </row>
    <row r="264" spans="2:66" ht="11.25" customHeight="1">
      <c r="B264" s="2"/>
      <c r="G264" s="13">
        <f>+D258*C253^2/(6*M266)</f>
        <v>6.8055555555555554</v>
      </c>
      <c r="H264" s="13"/>
      <c r="I264" s="1" t="s">
        <v>8</v>
      </c>
      <c r="S264" s="13">
        <f>+G264</f>
        <v>6.8055555555555554</v>
      </c>
      <c r="T264" s="13"/>
      <c r="U264" s="1" t="s">
        <v>8</v>
      </c>
      <c r="BN264" s="3"/>
    </row>
    <row r="265" spans="2:66" ht="11.25" customHeight="1">
      <c r="B265" s="2"/>
      <c r="BN265" s="3"/>
    </row>
    <row r="266" spans="2:66" ht="11.25" customHeight="1">
      <c r="B266" s="2"/>
      <c r="L266" s="1" t="s">
        <v>2</v>
      </c>
      <c r="M266" s="26">
        <v>4.5</v>
      </c>
      <c r="N266" s="26"/>
      <c r="O266" s="1" t="s">
        <v>0</v>
      </c>
      <c r="BN266" s="3"/>
    </row>
    <row r="267" spans="2:66" ht="11.25" customHeight="1" thickBot="1">
      <c r="B267" s="2"/>
      <c r="BN267" s="3"/>
    </row>
    <row r="268" spans="2:66" ht="11.25" customHeight="1" thickBot="1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</row>
    <row r="269" spans="2:66" ht="45.75" customHeight="1">
      <c r="B269" s="29" t="s">
        <v>45</v>
      </c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1"/>
    </row>
    <row r="270" spans="2:66" ht="11.25" customHeight="1">
      <c r="B270" s="2"/>
      <c r="AI270" s="4" t="s">
        <v>38</v>
      </c>
      <c r="BN270" s="3"/>
    </row>
    <row r="271" spans="2:66" ht="11.25" customHeight="1">
      <c r="B271" s="2"/>
      <c r="AA271" s="13">
        <f>+X274</f>
        <v>-19.471153846153843</v>
      </c>
      <c r="AB271" s="13"/>
      <c r="AC271" s="13"/>
      <c r="AL271" s="13">
        <f>+AP274</f>
        <v>-19.471153846153843</v>
      </c>
      <c r="AM271" s="13"/>
      <c r="AN271" s="13"/>
      <c r="BN271" s="3"/>
    </row>
    <row r="272" spans="2:66" ht="11.25" customHeight="1">
      <c r="B272" s="2"/>
      <c r="L272" s="26">
        <v>15</v>
      </c>
      <c r="M272" s="26"/>
      <c r="N272" s="1" t="s">
        <v>5</v>
      </c>
      <c r="BN272" s="3"/>
    </row>
    <row r="273" spans="2:66" ht="11.25" customHeight="1">
      <c r="B273" s="2"/>
      <c r="BN273" s="3"/>
    </row>
    <row r="274" spans="2:66" ht="11.25" customHeight="1">
      <c r="B274" s="2"/>
      <c r="X274" s="13">
        <f>-2*AC287</f>
        <v>-19.471153846153843</v>
      </c>
      <c r="Y274" s="13"/>
      <c r="Z274" s="13"/>
      <c r="AP274" s="13">
        <f>+X274</f>
        <v>-19.471153846153843</v>
      </c>
      <c r="AQ274" s="13"/>
      <c r="AR274" s="13"/>
      <c r="BN274" s="3"/>
    </row>
    <row r="275" spans="2:66" ht="11.25" customHeight="1">
      <c r="B275" s="2"/>
      <c r="L275" s="5" t="s">
        <v>4</v>
      </c>
      <c r="M275" s="26">
        <v>351</v>
      </c>
      <c r="N275" s="26"/>
      <c r="O275" s="26"/>
      <c r="P275" s="1" t="s">
        <v>3</v>
      </c>
      <c r="BN275" s="3"/>
    </row>
    <row r="276" spans="2:66" ht="11.25" customHeight="1">
      <c r="B276" s="2"/>
      <c r="BN276" s="3"/>
    </row>
    <row r="277" spans="2:66" ht="11.25" customHeight="1">
      <c r="B277" s="2"/>
      <c r="H277" s="24" t="s">
        <v>3</v>
      </c>
      <c r="L277" s="1" t="s">
        <v>14</v>
      </c>
      <c r="N277" s="13">
        <f>+M275/H279*C279/M292</f>
        <v>0.60000000000000009</v>
      </c>
      <c r="O277" s="13"/>
      <c r="S277" s="24" t="s">
        <v>3</v>
      </c>
      <c r="BN277" s="3"/>
    </row>
    <row r="278" spans="2:66" ht="11.25" customHeight="1">
      <c r="B278" s="2"/>
      <c r="C278" s="6" t="s">
        <v>0</v>
      </c>
      <c r="H278" s="24"/>
      <c r="L278" s="1" t="s">
        <v>12</v>
      </c>
      <c r="N278" s="13">
        <f>N277+2</f>
        <v>2.6</v>
      </c>
      <c r="O278" s="13"/>
      <c r="S278" s="24"/>
      <c r="AF278" s="13">
        <f>L272*M292^2/8+AA271</f>
        <v>18.497596153846157</v>
      </c>
      <c r="AG278" s="13"/>
      <c r="AH278" s="13"/>
      <c r="BN278" s="3"/>
    </row>
    <row r="279" spans="2:66" ht="11.25" customHeight="1">
      <c r="B279" s="2"/>
      <c r="C279" s="23">
        <v>3.5</v>
      </c>
      <c r="H279" s="23">
        <v>455</v>
      </c>
      <c r="L279" s="1" t="s">
        <v>13</v>
      </c>
      <c r="N279" s="13">
        <f>6*N277+1</f>
        <v>4.6000000000000005</v>
      </c>
      <c r="O279" s="13"/>
      <c r="S279" s="24">
        <f>+H279</f>
        <v>455</v>
      </c>
      <c r="BN279" s="3"/>
    </row>
    <row r="280" spans="2:66" ht="11.25" customHeight="1">
      <c r="B280" s="2"/>
      <c r="C280" s="23"/>
      <c r="H280" s="23"/>
      <c r="S280" s="24"/>
      <c r="AD280" s="1" t="s">
        <v>39</v>
      </c>
      <c r="BN280" s="3"/>
    </row>
    <row r="281" spans="2:66" ht="11.25" customHeight="1">
      <c r="B281" s="2"/>
      <c r="C281" s="23"/>
      <c r="H281" s="23"/>
      <c r="S281" s="24"/>
      <c r="BN281" s="3"/>
    </row>
    <row r="282" spans="2:66" ht="11.25" customHeight="1">
      <c r="B282" s="2"/>
      <c r="C282" s="24" t="s">
        <v>1</v>
      </c>
      <c r="H282" s="23"/>
      <c r="S282" s="24"/>
      <c r="AF282" s="6" t="s">
        <v>0</v>
      </c>
      <c r="BN282" s="3"/>
    </row>
    <row r="283" spans="2:66" ht="11.25" customHeight="1">
      <c r="B283" s="2"/>
      <c r="C283" s="24"/>
      <c r="H283" s="25" t="s">
        <v>4</v>
      </c>
      <c r="S283" s="25" t="s">
        <v>4</v>
      </c>
      <c r="AF283" s="24">
        <f>+C279/3</f>
        <v>1.1666666666666667</v>
      </c>
      <c r="BN283" s="3"/>
    </row>
    <row r="284" spans="2:66" ht="11.25" customHeight="1">
      <c r="B284" s="2"/>
      <c r="H284" s="24"/>
      <c r="S284" s="24"/>
      <c r="AF284" s="24"/>
      <c r="BN284" s="3"/>
    </row>
    <row r="285" spans="2:66" ht="11.25" customHeight="1">
      <c r="B285" s="2"/>
      <c r="AF285" s="24"/>
      <c r="BN285" s="3"/>
    </row>
    <row r="286" spans="2:66" ht="11.25" customHeight="1">
      <c r="B286" s="2"/>
      <c r="D286" s="13">
        <f>3*AC287/C279</f>
        <v>8.344780219780219</v>
      </c>
      <c r="E286" s="13"/>
      <c r="F286" s="1" t="s">
        <v>8</v>
      </c>
      <c r="V286" s="13">
        <f>+D286</f>
        <v>8.344780219780219</v>
      </c>
      <c r="W286" s="13"/>
      <c r="X286" s="1" t="s">
        <v>8</v>
      </c>
      <c r="BN286" s="3"/>
    </row>
    <row r="287" spans="2:66" ht="11.25" customHeight="1">
      <c r="B287" s="2"/>
      <c r="AC287" s="13">
        <f>L272*M292^2/(12*N278)</f>
        <v>9.7355769230769216</v>
      </c>
      <c r="AD287" s="13"/>
      <c r="AE287" s="13"/>
      <c r="AJ287" s="13">
        <f>+AC287</f>
        <v>9.7355769230769216</v>
      </c>
      <c r="AK287" s="13"/>
      <c r="AL287" s="13"/>
      <c r="BN287" s="3"/>
    </row>
    <row r="288" spans="2:66" ht="11.25" customHeight="1">
      <c r="B288" s="2"/>
      <c r="D288" s="13">
        <f>+AC287</f>
        <v>9.7355769230769216</v>
      </c>
      <c r="E288" s="13"/>
      <c r="F288" s="1" t="s">
        <v>11</v>
      </c>
      <c r="U288" s="13">
        <f>+AJ287</f>
        <v>9.7355769230769216</v>
      </c>
      <c r="V288" s="13"/>
      <c r="W288" s="1" t="s">
        <v>11</v>
      </c>
      <c r="BN288" s="3"/>
    </row>
    <row r="289" spans="2:66" ht="11.25" customHeight="1">
      <c r="B289" s="2"/>
      <c r="BN289" s="3"/>
    </row>
    <row r="290" spans="2:66" ht="11.25" customHeight="1">
      <c r="B290" s="2"/>
      <c r="G290" s="13">
        <f>L272*M292/2</f>
        <v>33.75</v>
      </c>
      <c r="H290" s="13"/>
      <c r="I290" s="1" t="s">
        <v>8</v>
      </c>
      <c r="S290" s="13">
        <f>+G290</f>
        <v>33.75</v>
      </c>
      <c r="T290" s="13"/>
      <c r="U290" s="1" t="s">
        <v>8</v>
      </c>
      <c r="BN290" s="3"/>
    </row>
    <row r="291" spans="2:66" ht="11.25" customHeight="1">
      <c r="B291" s="2"/>
      <c r="BN291" s="3"/>
    </row>
    <row r="292" spans="2:66" ht="11.25" customHeight="1">
      <c r="B292" s="2"/>
      <c r="L292" s="1" t="s">
        <v>2</v>
      </c>
      <c r="M292" s="26">
        <v>4.5</v>
      </c>
      <c r="N292" s="26"/>
      <c r="O292" s="1" t="s">
        <v>0</v>
      </c>
      <c r="BN292" s="3"/>
    </row>
    <row r="293" spans="2:66" ht="11.25" customHeight="1">
      <c r="B293" s="2"/>
      <c r="BN293" s="3"/>
    </row>
    <row r="294" spans="2:66" ht="11.25" customHeight="1">
      <c r="B294" s="2"/>
      <c r="BN294" s="3"/>
    </row>
    <row r="295" spans="2:66" ht="11.25" customHeight="1">
      <c r="B295" s="2"/>
      <c r="AA295" s="13">
        <f>+X298</f>
        <v>-10.002391304347825</v>
      </c>
      <c r="AB295" s="13"/>
      <c r="AC295" s="13"/>
      <c r="AL295" s="13">
        <f>+AA295</f>
        <v>-10.002391304347825</v>
      </c>
      <c r="AM295" s="13"/>
      <c r="AN295" s="13"/>
      <c r="BN295" s="3"/>
    </row>
    <row r="296" spans="2:66" ht="11.25" customHeight="1">
      <c r="B296" s="2"/>
      <c r="L296" s="26">
        <v>15</v>
      </c>
      <c r="M296" s="26"/>
      <c r="N296" s="1" t="s">
        <v>5</v>
      </c>
      <c r="BN296" s="3"/>
    </row>
    <row r="297" spans="2:66" ht="11.25" customHeight="1">
      <c r="B297" s="2"/>
      <c r="BN297" s="3"/>
    </row>
    <row r="298" spans="2:66" ht="11.25" customHeight="1">
      <c r="B298" s="2"/>
      <c r="X298" s="13">
        <f>-2*AC311</f>
        <v>-10.002391304347825</v>
      </c>
      <c r="Y298" s="13"/>
      <c r="Z298" s="13"/>
      <c r="AP298" s="13">
        <f>+X298</f>
        <v>-10.002391304347825</v>
      </c>
      <c r="AQ298" s="13"/>
      <c r="AR298" s="13"/>
      <c r="BN298" s="3"/>
    </row>
    <row r="299" spans="2:66" ht="11.25" customHeight="1">
      <c r="B299" s="2"/>
      <c r="L299" s="5" t="s">
        <v>4</v>
      </c>
      <c r="M299" s="26">
        <v>351</v>
      </c>
      <c r="N299" s="26"/>
      <c r="O299" s="26"/>
      <c r="P299" s="1" t="s">
        <v>3</v>
      </c>
      <c r="BN299" s="3"/>
    </row>
    <row r="300" spans="2:66" ht="11.25" customHeight="1">
      <c r="B300" s="2"/>
      <c r="BN300" s="3"/>
    </row>
    <row r="301" spans="2:66" ht="11.25" customHeight="1">
      <c r="B301" s="2"/>
      <c r="H301" s="24" t="s">
        <v>3</v>
      </c>
      <c r="L301" s="1" t="s">
        <v>14</v>
      </c>
      <c r="N301" s="13">
        <f>+M299/H303*C303/M316</f>
        <v>1.285714285714286</v>
      </c>
      <c r="O301" s="13"/>
      <c r="S301" s="24" t="s">
        <v>3</v>
      </c>
      <c r="BN301" s="3"/>
    </row>
    <row r="302" spans="2:66" ht="11.25" customHeight="1">
      <c r="B302" s="2"/>
      <c r="C302" s="6" t="s">
        <v>0</v>
      </c>
      <c r="H302" s="24"/>
      <c r="L302" s="1" t="s">
        <v>12</v>
      </c>
      <c r="N302" s="13">
        <f>N301+2</f>
        <v>3.285714285714286</v>
      </c>
      <c r="O302" s="13"/>
      <c r="S302" s="24"/>
      <c r="AF302" s="13">
        <f>L296*M316*(M318+2*I316)/8+AA295</f>
        <v>17.166358695652171</v>
      </c>
      <c r="AG302" s="13"/>
      <c r="AH302" s="13"/>
      <c r="BN302" s="3"/>
    </row>
    <row r="303" spans="2:66" ht="11.25" customHeight="1">
      <c r="B303" s="2"/>
      <c r="C303" s="23">
        <v>3.5</v>
      </c>
      <c r="H303" s="23">
        <v>455</v>
      </c>
      <c r="L303" s="1" t="s">
        <v>13</v>
      </c>
      <c r="N303" s="13">
        <f>6*N301+1</f>
        <v>8.7142857142857153</v>
      </c>
      <c r="O303" s="13"/>
      <c r="S303" s="24">
        <f>+H303</f>
        <v>455</v>
      </c>
      <c r="BN303" s="3"/>
    </row>
    <row r="304" spans="2:66" ht="11.25" customHeight="1">
      <c r="B304" s="2"/>
      <c r="C304" s="23"/>
      <c r="H304" s="23"/>
      <c r="L304" s="7" t="s">
        <v>9</v>
      </c>
      <c r="N304" s="13">
        <f>M316/M318</f>
        <v>0.46666666666666656</v>
      </c>
      <c r="O304" s="13"/>
      <c r="S304" s="24"/>
      <c r="AD304" s="1" t="s">
        <v>39</v>
      </c>
      <c r="BN304" s="3"/>
    </row>
    <row r="305" spans="2:66" ht="11.25" customHeight="1">
      <c r="B305" s="2"/>
      <c r="C305" s="23"/>
      <c r="H305" s="23"/>
      <c r="S305" s="24"/>
      <c r="BN305" s="3"/>
    </row>
    <row r="306" spans="2:66" ht="11.25" customHeight="1">
      <c r="B306" s="2"/>
      <c r="C306" s="24" t="s">
        <v>1</v>
      </c>
      <c r="H306" s="23"/>
      <c r="S306" s="24"/>
      <c r="AF306" s="6" t="s">
        <v>0</v>
      </c>
      <c r="BN306" s="3"/>
    </row>
    <row r="307" spans="2:66" ht="11.25" customHeight="1">
      <c r="B307" s="2"/>
      <c r="C307" s="24"/>
      <c r="H307" s="25" t="s">
        <v>4</v>
      </c>
      <c r="S307" s="25" t="s">
        <v>4</v>
      </c>
      <c r="AF307" s="24">
        <f>+C303/3</f>
        <v>1.1666666666666667</v>
      </c>
      <c r="BN307" s="3"/>
    </row>
    <row r="308" spans="2:66" ht="11.25" customHeight="1">
      <c r="B308" s="2"/>
      <c r="H308" s="24"/>
      <c r="S308" s="24"/>
      <c r="AF308" s="24"/>
      <c r="BN308" s="3"/>
    </row>
    <row r="309" spans="2:66" ht="11.25" customHeight="1">
      <c r="B309" s="2"/>
      <c r="AF309" s="24"/>
      <c r="BN309" s="3"/>
    </row>
    <row r="310" spans="2:66" ht="11.25" customHeight="1">
      <c r="B310" s="2"/>
      <c r="D310" s="13">
        <f>3*AC311/C303</f>
        <v>4.2867391304347819</v>
      </c>
      <c r="E310" s="13"/>
      <c r="F310" s="1" t="s">
        <v>8</v>
      </c>
      <c r="V310" s="13">
        <f>+D310</f>
        <v>4.2867391304347819</v>
      </c>
      <c r="W310" s="13"/>
      <c r="X310" s="1" t="s">
        <v>8</v>
      </c>
      <c r="BN310" s="3"/>
    </row>
    <row r="311" spans="2:66" ht="11.25" customHeight="1">
      <c r="B311" s="2"/>
      <c r="AC311" s="13">
        <f>L296*M316*M318*(3-N304^2)/(24*N302)</f>
        <v>5.0011956521739123</v>
      </c>
      <c r="AD311" s="13"/>
      <c r="AE311" s="13"/>
      <c r="AJ311" s="13">
        <f>+AC311</f>
        <v>5.0011956521739123</v>
      </c>
      <c r="AK311" s="13"/>
      <c r="AL311" s="13"/>
      <c r="BN311" s="3"/>
    </row>
    <row r="312" spans="2:66" ht="11.25" customHeight="1">
      <c r="B312" s="2"/>
      <c r="D312" s="13">
        <f>+AC311</f>
        <v>5.0011956521739123</v>
      </c>
      <c r="E312" s="13"/>
      <c r="F312" s="1" t="s">
        <v>11</v>
      </c>
      <c r="U312" s="13">
        <f>+AJ311</f>
        <v>5.0011956521739123</v>
      </c>
      <c r="V312" s="13"/>
      <c r="W312" s="1" t="s">
        <v>11</v>
      </c>
      <c r="BN312" s="3"/>
    </row>
    <row r="313" spans="2:66" ht="11.25" customHeight="1">
      <c r="B313" s="2"/>
      <c r="BN313" s="3"/>
    </row>
    <row r="314" spans="2:66" ht="11.25" customHeight="1">
      <c r="B314" s="2"/>
      <c r="G314" s="13">
        <f>L296*M316/2</f>
        <v>15.749999999999996</v>
      </c>
      <c r="H314" s="13"/>
      <c r="I314" s="1" t="s">
        <v>8</v>
      </c>
      <c r="S314" s="13">
        <f>+G314</f>
        <v>15.749999999999996</v>
      </c>
      <c r="T314" s="13"/>
      <c r="U314" s="1" t="s">
        <v>8</v>
      </c>
      <c r="BN314" s="3"/>
    </row>
    <row r="315" spans="2:66" ht="11.25" customHeight="1">
      <c r="B315" s="2"/>
      <c r="BN315" s="3"/>
    </row>
    <row r="316" spans="2:66" ht="11.25" customHeight="1">
      <c r="B316" s="2"/>
      <c r="I316" s="26">
        <v>1.2</v>
      </c>
      <c r="J316" s="26"/>
      <c r="K316" s="1" t="s">
        <v>0</v>
      </c>
      <c r="M316" s="13">
        <f>+M318-I316-Q316</f>
        <v>2.0999999999999996</v>
      </c>
      <c r="N316" s="13"/>
      <c r="O316" s="1" t="s">
        <v>0</v>
      </c>
      <c r="Q316" s="13">
        <f>+I316</f>
        <v>1.2</v>
      </c>
      <c r="R316" s="13"/>
      <c r="S316" s="1" t="s">
        <v>0</v>
      </c>
      <c r="BN316" s="3"/>
    </row>
    <row r="317" spans="2:66" ht="11.25" customHeight="1">
      <c r="B317" s="2"/>
      <c r="BN317" s="3"/>
    </row>
    <row r="318" spans="2:66" ht="11.25" customHeight="1">
      <c r="B318" s="2"/>
      <c r="L318" s="1" t="s">
        <v>2</v>
      </c>
      <c r="M318" s="26">
        <v>4.5</v>
      </c>
      <c r="N318" s="26"/>
      <c r="O318" s="1" t="s">
        <v>0</v>
      </c>
      <c r="BN318" s="3"/>
    </row>
    <row r="319" spans="2:66" ht="11.25" customHeight="1">
      <c r="B319" s="2"/>
      <c r="BN319" s="3"/>
    </row>
    <row r="320" spans="2:66" ht="11.25" customHeight="1">
      <c r="B320" s="2"/>
      <c r="BN320" s="3"/>
    </row>
    <row r="321" spans="2:66" ht="11.25" customHeight="1">
      <c r="B321" s="2"/>
      <c r="BN321" s="3"/>
    </row>
    <row r="322" spans="2:66" ht="11.25" customHeight="1">
      <c r="B322" s="2"/>
      <c r="AA322" s="13">
        <f>-J323*J343^2/2*((1+2*M331)/(3*M329)-M331^2/(2*M330))</f>
        <v>-15.134202646940416</v>
      </c>
      <c r="AB322" s="13"/>
      <c r="AC322" s="13"/>
      <c r="AL322" s="13">
        <f>-J323*J343^2/2*((1+2*M331)/(3*M329)+M331^2/(2*M330))</f>
        <v>-16.463019575281802</v>
      </c>
      <c r="AM322" s="13"/>
      <c r="AN322" s="13"/>
      <c r="BN322" s="3"/>
    </row>
    <row r="323" spans="2:66" ht="11.25" customHeight="1">
      <c r="B323" s="2"/>
      <c r="J323" s="26">
        <v>15</v>
      </c>
      <c r="K323" s="26"/>
      <c r="L323" s="1" t="s">
        <v>5</v>
      </c>
      <c r="BN323" s="3"/>
    </row>
    <row r="324" spans="2:66" ht="11.25" customHeight="1">
      <c r="B324" s="2"/>
      <c r="BN324" s="3"/>
    </row>
    <row r="325" spans="2:66" ht="11.25" customHeight="1">
      <c r="B325" s="2"/>
      <c r="X325" s="13">
        <f>+AA322</f>
        <v>-15.134202646940416</v>
      </c>
      <c r="Y325" s="13"/>
      <c r="Z325" s="13"/>
      <c r="AP325" s="13">
        <f>+AL322</f>
        <v>-16.463019575281802</v>
      </c>
      <c r="AQ325" s="13"/>
      <c r="AR325" s="13"/>
      <c r="BN325" s="3"/>
    </row>
    <row r="326" spans="2:66" ht="11.25" customHeight="1">
      <c r="B326" s="2"/>
      <c r="L326" s="5" t="s">
        <v>4</v>
      </c>
      <c r="M326" s="26">
        <v>351</v>
      </c>
      <c r="N326" s="26"/>
      <c r="O326" s="26"/>
      <c r="P326" s="1" t="s">
        <v>3</v>
      </c>
      <c r="BN326" s="3"/>
    </row>
    <row r="327" spans="2:66" ht="11.25" customHeight="1">
      <c r="B327" s="2"/>
      <c r="BN327" s="3"/>
    </row>
    <row r="328" spans="2:66" ht="11.25" customHeight="1">
      <c r="B328" s="2"/>
      <c r="H328" s="24" t="s">
        <v>3</v>
      </c>
      <c r="K328" s="1" t="s">
        <v>14</v>
      </c>
      <c r="M328" s="13">
        <f>+M326/H330*C330/M345</f>
        <v>0.60000000000000009</v>
      </c>
      <c r="N328" s="13"/>
      <c r="S328" s="24" t="s">
        <v>3</v>
      </c>
      <c r="BN328" s="3"/>
    </row>
    <row r="329" spans="2:66" ht="11.25" customHeight="1">
      <c r="B329" s="2"/>
      <c r="C329" s="6" t="s">
        <v>0</v>
      </c>
      <c r="H329" s="24"/>
      <c r="K329" s="1" t="s">
        <v>12</v>
      </c>
      <c r="M329" s="13">
        <f>M328+2</f>
        <v>2.6</v>
      </c>
      <c r="N329" s="13"/>
      <c r="S329" s="24"/>
      <c r="AF329" s="13">
        <f>(G341-J323*J343/2)*J343+AA322</f>
        <v>7.8307068013061283</v>
      </c>
      <c r="AG329" s="13"/>
      <c r="AH329" s="13"/>
      <c r="BN329" s="3"/>
    </row>
    <row r="330" spans="2:66" ht="11.25" customHeight="1">
      <c r="B330" s="2"/>
      <c r="C330" s="23">
        <v>3.5</v>
      </c>
      <c r="H330" s="23">
        <v>455</v>
      </c>
      <c r="K330" s="1" t="s">
        <v>13</v>
      </c>
      <c r="M330" s="13">
        <f>6*M328+1</f>
        <v>4.6000000000000005</v>
      </c>
      <c r="N330" s="13"/>
      <c r="S330" s="24">
        <f>+H330</f>
        <v>455</v>
      </c>
      <c r="BN330" s="3"/>
    </row>
    <row r="331" spans="2:66" ht="11.25" customHeight="1">
      <c r="B331" s="2"/>
      <c r="C331" s="23"/>
      <c r="H331" s="23"/>
      <c r="K331" s="5" t="s">
        <v>15</v>
      </c>
      <c r="M331" s="13">
        <f>+Q343/M345</f>
        <v>0.27777777777777779</v>
      </c>
      <c r="N331" s="13"/>
      <c r="S331" s="24"/>
      <c r="AD331" s="13">
        <f>+J343</f>
        <v>3.25</v>
      </c>
      <c r="AE331" s="13"/>
      <c r="AF331" s="1" t="s">
        <v>0</v>
      </c>
      <c r="BN331" s="3"/>
    </row>
    <row r="332" spans="2:66" ht="11.25" customHeight="1">
      <c r="B332" s="2"/>
      <c r="C332" s="23"/>
      <c r="H332" s="23"/>
      <c r="S332" s="24"/>
      <c r="BN332" s="3"/>
    </row>
    <row r="333" spans="2:66" ht="11.25" customHeight="1">
      <c r="B333" s="2"/>
      <c r="C333" s="24" t="s">
        <v>1</v>
      </c>
      <c r="H333" s="23"/>
      <c r="S333" s="24"/>
      <c r="AD333" s="1" t="s">
        <v>39</v>
      </c>
      <c r="BN333" s="3"/>
    </row>
    <row r="334" spans="2:66" ht="11.25" customHeight="1">
      <c r="B334" s="2"/>
      <c r="C334" s="24"/>
      <c r="H334" s="25" t="s">
        <v>4</v>
      </c>
      <c r="S334" s="25" t="s">
        <v>4</v>
      </c>
      <c r="BN334" s="3"/>
    </row>
    <row r="335" spans="2:66" ht="11.25" customHeight="1">
      <c r="B335" s="2"/>
      <c r="H335" s="24"/>
      <c r="S335" s="24"/>
      <c r="BN335" s="3"/>
    </row>
    <row r="336" spans="2:66" ht="11.25" customHeight="1">
      <c r="B336" s="2"/>
      <c r="BN336" s="3"/>
    </row>
    <row r="337" spans="2:66" ht="11.25" customHeight="1">
      <c r="B337" s="2"/>
      <c r="D337" s="13">
        <f>J323*J343^2*(1+2*M331)/(4*C330*M329)</f>
        <v>6.7708333333333339</v>
      </c>
      <c r="E337" s="13"/>
      <c r="F337" s="1" t="s">
        <v>8</v>
      </c>
      <c r="V337" s="13">
        <f>+D337</f>
        <v>6.7708333333333339</v>
      </c>
      <c r="W337" s="13"/>
      <c r="X337" s="1" t="s">
        <v>8</v>
      </c>
      <c r="BN337" s="3"/>
    </row>
    <row r="338" spans="2:66" ht="11.25" customHeight="1">
      <c r="B338" s="2"/>
      <c r="AC338" s="13">
        <f>J323*J343^2/2*((1+2*M331)/(6*M329)-M331^2/(2*M330))</f>
        <v>7.2348970913848625</v>
      </c>
      <c r="AD338" s="13"/>
      <c r="AE338" s="13"/>
      <c r="AJ338" s="13">
        <f>J323*J343^2/2*((1+2*M331)/(6*M329)+M331^2/(2*M330))</f>
        <v>8.5637140197262465</v>
      </c>
      <c r="AK338" s="13"/>
      <c r="AL338" s="13"/>
      <c r="BN338" s="3"/>
    </row>
    <row r="339" spans="2:66" ht="11.25" customHeight="1">
      <c r="B339" s="2"/>
      <c r="D339" s="13">
        <f>+AC338</f>
        <v>7.2348970913848625</v>
      </c>
      <c r="E339" s="13"/>
      <c r="F339" s="1" t="s">
        <v>11</v>
      </c>
      <c r="U339" s="13">
        <f>+AJ338</f>
        <v>8.5637140197262465</v>
      </c>
      <c r="V339" s="13"/>
      <c r="W339" s="1" t="s">
        <v>11</v>
      </c>
      <c r="BN339" s="3"/>
    </row>
    <row r="340" spans="2:66" ht="11.25" customHeight="1">
      <c r="B340" s="2"/>
      <c r="BN340" s="3"/>
    </row>
    <row r="341" spans="2:66" ht="11.25" customHeight="1">
      <c r="B341" s="2"/>
      <c r="G341" s="13">
        <f>J323*J343-S341</f>
        <v>31.44112598407586</v>
      </c>
      <c r="H341" s="13"/>
      <c r="I341" s="1" t="s">
        <v>8</v>
      </c>
      <c r="S341" s="13">
        <f>J323*J343^2/(2*M345)*(1-M331^2/M330)</f>
        <v>17.30887401592414</v>
      </c>
      <c r="T341" s="13"/>
      <c r="U341" s="1" t="s">
        <v>8</v>
      </c>
      <c r="BN341" s="3"/>
    </row>
    <row r="342" spans="2:66" ht="11.25" customHeight="1">
      <c r="B342" s="2"/>
      <c r="BN342" s="3"/>
    </row>
    <row r="343" spans="2:66" ht="11.25" customHeight="1">
      <c r="B343" s="2"/>
      <c r="J343" s="26">
        <v>3.25</v>
      </c>
      <c r="K343" s="26"/>
      <c r="L343" s="1" t="s">
        <v>0</v>
      </c>
      <c r="Q343" s="13">
        <f>+M345-J343</f>
        <v>1.25</v>
      </c>
      <c r="R343" s="13"/>
      <c r="S343" s="1" t="s">
        <v>0</v>
      </c>
      <c r="BN343" s="3"/>
    </row>
    <row r="344" spans="2:66" ht="11.25" customHeight="1">
      <c r="B344" s="2"/>
      <c r="BN344" s="3"/>
    </row>
    <row r="345" spans="2:66" ht="11.25" customHeight="1">
      <c r="B345" s="2"/>
      <c r="L345" s="1" t="s">
        <v>2</v>
      </c>
      <c r="M345" s="26">
        <v>4.5</v>
      </c>
      <c r="N345" s="26"/>
      <c r="O345" s="1" t="s">
        <v>0</v>
      </c>
      <c r="BN345" s="3"/>
    </row>
    <row r="346" spans="2:66" ht="11.25" customHeight="1">
      <c r="B346" s="2"/>
      <c r="BN346" s="3"/>
    </row>
    <row r="347" spans="2:66" ht="11.25" customHeight="1">
      <c r="B347" s="2"/>
      <c r="BN347" s="3"/>
    </row>
    <row r="348" spans="2:66" ht="11.25" customHeight="1">
      <c r="B348" s="2"/>
      <c r="BN348" s="3"/>
    </row>
    <row r="349" spans="2:66" ht="11.25" customHeight="1">
      <c r="B349" s="2"/>
      <c r="AL349" s="13">
        <f>E358*C357^2/4*(-N355/(6*N356)-2*N355/N357)</f>
        <v>-13.750522575250837</v>
      </c>
      <c r="AM349" s="13"/>
      <c r="AN349" s="13"/>
      <c r="BN349" s="3"/>
    </row>
    <row r="350" spans="2:66" ht="11.25" customHeight="1">
      <c r="B350" s="2"/>
      <c r="BN350" s="3"/>
    </row>
    <row r="351" spans="2:66" ht="11.25" customHeight="1">
      <c r="B351" s="2"/>
      <c r="BN351" s="3"/>
    </row>
    <row r="352" spans="2:66" ht="11.25" customHeight="1">
      <c r="B352" s="2"/>
      <c r="AD352" s="13">
        <f>E358*C357^2/4*(-N355/(6*N356)+2*N355/N357)</f>
        <v>10.216868729096989</v>
      </c>
      <c r="AE352" s="13"/>
      <c r="AF352" s="13"/>
      <c r="AP352" s="13">
        <f>+AL349</f>
        <v>-13.750522575250837</v>
      </c>
      <c r="AQ352" s="13"/>
      <c r="AR352" s="13"/>
      <c r="BN352" s="3"/>
    </row>
    <row r="353" spans="2:66" ht="11.25" customHeight="1">
      <c r="B353" s="2"/>
      <c r="L353" s="5" t="s">
        <v>4</v>
      </c>
      <c r="M353" s="26">
        <v>351</v>
      </c>
      <c r="N353" s="26"/>
      <c r="O353" s="26"/>
      <c r="P353" s="1" t="s">
        <v>3</v>
      </c>
      <c r="BN353" s="3"/>
    </row>
    <row r="354" spans="2:66" ht="11.25" customHeight="1">
      <c r="B354" s="2"/>
      <c r="BN354" s="3"/>
    </row>
    <row r="355" spans="2:66" ht="11.25" customHeight="1">
      <c r="B355" s="2"/>
      <c r="E355" s="24" t="s">
        <v>5</v>
      </c>
      <c r="H355" s="24" t="s">
        <v>3</v>
      </c>
      <c r="L355" s="1" t="s">
        <v>14</v>
      </c>
      <c r="N355" s="13">
        <f>+M353/H357*C357/M370</f>
        <v>0.60000000000000009</v>
      </c>
      <c r="O355" s="13"/>
      <c r="S355" s="24" t="s">
        <v>3</v>
      </c>
      <c r="BN355" s="3"/>
    </row>
    <row r="356" spans="2:66" ht="11.25" customHeight="1">
      <c r="B356" s="2"/>
      <c r="C356" s="6" t="s">
        <v>0</v>
      </c>
      <c r="E356" s="24"/>
      <c r="H356" s="24"/>
      <c r="L356" s="1" t="s">
        <v>12</v>
      </c>
      <c r="N356" s="13">
        <f>N355+2</f>
        <v>2.6</v>
      </c>
      <c r="O356" s="13"/>
      <c r="S356" s="24"/>
      <c r="BN356" s="3"/>
    </row>
    <row r="357" spans="2:66" ht="11.25" customHeight="1">
      <c r="B357" s="2"/>
      <c r="C357" s="23">
        <v>3.5</v>
      </c>
      <c r="E357" s="24"/>
      <c r="H357" s="23">
        <v>455</v>
      </c>
      <c r="L357" s="1" t="s">
        <v>13</v>
      </c>
      <c r="N357" s="13">
        <f>6*N355+1</f>
        <v>4.6000000000000005</v>
      </c>
      <c r="O357" s="13"/>
      <c r="S357" s="24">
        <f>+H357</f>
        <v>455</v>
      </c>
      <c r="Y357" s="13">
        <f>+AD352</f>
        <v>10.216868729096989</v>
      </c>
      <c r="Z357" s="13"/>
      <c r="AA357" s="13"/>
      <c r="BN357" s="3"/>
    </row>
    <row r="358" spans="2:66" ht="11.25" customHeight="1">
      <c r="B358" s="2"/>
      <c r="C358" s="23"/>
      <c r="E358" s="23">
        <v>15</v>
      </c>
      <c r="H358" s="23"/>
      <c r="S358" s="24"/>
      <c r="BN358" s="3"/>
    </row>
    <row r="359" spans="2:66" ht="11.25" customHeight="1">
      <c r="B359" s="2"/>
      <c r="C359" s="23"/>
      <c r="E359" s="23"/>
      <c r="H359" s="23"/>
      <c r="S359" s="24"/>
      <c r="BN359" s="3"/>
    </row>
    <row r="360" spans="2:66" ht="11.25" customHeight="1">
      <c r="B360" s="2"/>
      <c r="C360" s="24" t="s">
        <v>1</v>
      </c>
      <c r="E360" s="23"/>
      <c r="H360" s="23"/>
      <c r="S360" s="24"/>
      <c r="BN360" s="3"/>
    </row>
    <row r="361" spans="2:66" ht="11.25" customHeight="1">
      <c r="B361" s="2"/>
      <c r="C361" s="24"/>
      <c r="H361" s="25" t="s">
        <v>4</v>
      </c>
      <c r="S361" s="25" t="s">
        <v>4</v>
      </c>
      <c r="AD361" s="1" t="s">
        <v>39</v>
      </c>
      <c r="BN361" s="3"/>
    </row>
    <row r="362" spans="2:66" ht="11.25" customHeight="1">
      <c r="B362" s="2"/>
      <c r="H362" s="24"/>
      <c r="S362" s="24"/>
      <c r="BN362" s="3"/>
    </row>
    <row r="363" spans="2:66" ht="11.25" customHeight="1">
      <c r="B363" s="2"/>
      <c r="BN363" s="3"/>
    </row>
    <row r="364" spans="2:66" ht="11.25" customHeight="1">
      <c r="B364" s="2"/>
      <c r="J364" s="13">
        <f>(E358*C357-V364)</f>
        <v>41.89903846153846</v>
      </c>
      <c r="K364" s="13"/>
      <c r="L364" s="1" t="s">
        <v>8</v>
      </c>
      <c r="V364" s="13">
        <f>E358*C357*(3+2*N355)/(8*N356)</f>
        <v>10.600961538461538</v>
      </c>
      <c r="W364" s="13"/>
      <c r="X364" s="1" t="s">
        <v>8</v>
      </c>
      <c r="BN364" s="3"/>
    </row>
    <row r="365" spans="2:66" ht="11.25" customHeight="1">
      <c r="B365" s="2"/>
      <c r="X365" s="13">
        <f>E358*C357^2/4*(-(3+N355)/(6*N356)-(1+4*N355)/N357)</f>
        <v>-44.554765886287619</v>
      </c>
      <c r="Y365" s="13"/>
      <c r="Z365" s="13"/>
      <c r="AJ365" s="13">
        <f>E358*C357^2/4*(-(3+N355)/(6*N356)+(1+4*N355)/N357)</f>
        <v>23.352842809364549</v>
      </c>
      <c r="AK365" s="13"/>
      <c r="AL365" s="13"/>
      <c r="BN365" s="3"/>
    </row>
    <row r="366" spans="2:66" ht="11.25" customHeight="1">
      <c r="B366" s="2"/>
      <c r="I366" s="13">
        <f>-X365</f>
        <v>44.554765886287619</v>
      </c>
      <c r="J366" s="13"/>
      <c r="K366" s="1" t="s">
        <v>11</v>
      </c>
      <c r="U366" s="13">
        <f>+AJ365</f>
        <v>23.352842809364549</v>
      </c>
      <c r="V366" s="13"/>
      <c r="W366" s="1" t="s">
        <v>11</v>
      </c>
      <c r="BN366" s="3"/>
    </row>
    <row r="367" spans="2:66" ht="11.25" customHeight="1">
      <c r="B367" s="2"/>
      <c r="BN367" s="3"/>
    </row>
    <row r="368" spans="2:66" ht="11.25" customHeight="1">
      <c r="B368" s="2"/>
      <c r="G368" s="13">
        <f>E358*N355*C357^2/(M370*N357)</f>
        <v>5.3260869565217401</v>
      </c>
      <c r="H368" s="13"/>
      <c r="I368" s="1" t="s">
        <v>8</v>
      </c>
      <c r="S368" s="13">
        <f>+G368</f>
        <v>5.3260869565217401</v>
      </c>
      <c r="T368" s="13"/>
      <c r="U368" s="1" t="s">
        <v>8</v>
      </c>
      <c r="BN368" s="3"/>
    </row>
    <row r="369" spans="2:66" ht="11.25" customHeight="1">
      <c r="B369" s="2"/>
      <c r="BN369" s="3"/>
    </row>
    <row r="370" spans="2:66" ht="11.25" customHeight="1">
      <c r="B370" s="2"/>
      <c r="L370" s="1" t="s">
        <v>2</v>
      </c>
      <c r="M370" s="26">
        <v>4.5</v>
      </c>
      <c r="N370" s="26"/>
      <c r="O370" s="1" t="s">
        <v>0</v>
      </c>
      <c r="BN370" s="3"/>
    </row>
    <row r="371" spans="2:66" ht="11.25" customHeight="1">
      <c r="B371" s="2"/>
      <c r="BN371" s="3"/>
    </row>
    <row r="372" spans="2:66" ht="11.25" customHeight="1">
      <c r="B372" s="2"/>
      <c r="BN372" s="3"/>
    </row>
    <row r="373" spans="2:66" ht="11.25" customHeight="1">
      <c r="B373" s="2"/>
      <c r="AL373" s="13">
        <f>+AP376</f>
        <v>-3.7026546822742477</v>
      </c>
      <c r="AM373" s="13"/>
      <c r="AN373" s="13"/>
      <c r="BN373" s="3"/>
    </row>
    <row r="374" spans="2:66" ht="11.25" customHeight="1">
      <c r="B374" s="2"/>
      <c r="BN374" s="3"/>
    </row>
    <row r="375" spans="2:66" ht="11.25" customHeight="1">
      <c r="B375" s="2"/>
      <c r="BN375" s="3"/>
    </row>
    <row r="376" spans="2:66" ht="11.25" customHeight="1">
      <c r="B376" s="2"/>
      <c r="AD376" s="13">
        <f>D386*C381^2/24*(-2*N379/(5*N380)+3*N379/N381)</f>
        <v>2.2891931438127093</v>
      </c>
      <c r="AE376" s="13"/>
      <c r="AF376" s="13"/>
      <c r="AP376" s="13">
        <f>D386*C381^2/24*(-2*N379/(5*N380)-3*N379/N381)</f>
        <v>-3.7026546822742477</v>
      </c>
      <c r="AQ376" s="13"/>
      <c r="AR376" s="13"/>
      <c r="BN376" s="3"/>
    </row>
    <row r="377" spans="2:66" ht="11.25" customHeight="1">
      <c r="B377" s="2"/>
      <c r="L377" s="5" t="s">
        <v>4</v>
      </c>
      <c r="M377" s="26">
        <v>351</v>
      </c>
      <c r="N377" s="26"/>
      <c r="O377" s="26"/>
      <c r="P377" s="1" t="s">
        <v>3</v>
      </c>
      <c r="BN377" s="3"/>
    </row>
    <row r="378" spans="2:66" ht="11.25" customHeight="1">
      <c r="B378" s="2"/>
      <c r="BN378" s="3"/>
    </row>
    <row r="379" spans="2:66" ht="11.25" customHeight="1">
      <c r="B379" s="2"/>
      <c r="H379" s="24" t="s">
        <v>3</v>
      </c>
      <c r="L379" s="1" t="s">
        <v>14</v>
      </c>
      <c r="N379" s="13">
        <f>+M377/H381*C381/M394</f>
        <v>0.60000000000000009</v>
      </c>
      <c r="O379" s="13"/>
      <c r="S379" s="24" t="s">
        <v>3</v>
      </c>
      <c r="Y379" s="13">
        <f>+AD376</f>
        <v>2.2891931438127093</v>
      </c>
      <c r="Z379" s="13"/>
      <c r="AA379" s="13"/>
      <c r="BN379" s="3"/>
    </row>
    <row r="380" spans="2:66" ht="11.25" customHeight="1">
      <c r="B380" s="2"/>
      <c r="C380" s="6" t="s">
        <v>0</v>
      </c>
      <c r="H380" s="24"/>
      <c r="L380" s="1" t="s">
        <v>12</v>
      </c>
      <c r="N380" s="13">
        <f>N379+2</f>
        <v>2.6</v>
      </c>
      <c r="O380" s="13"/>
      <c r="S380" s="24"/>
      <c r="BN380" s="3"/>
    </row>
    <row r="381" spans="2:66" ht="11.25" customHeight="1">
      <c r="B381" s="2"/>
      <c r="C381" s="23">
        <v>3.5</v>
      </c>
      <c r="H381" s="23">
        <v>455</v>
      </c>
      <c r="L381" s="1" t="s">
        <v>13</v>
      </c>
      <c r="N381" s="13">
        <f>6*N379+1</f>
        <v>4.6000000000000005</v>
      </c>
      <c r="O381" s="13"/>
      <c r="S381" s="24">
        <f>+H381</f>
        <v>455</v>
      </c>
      <c r="BN381" s="3"/>
    </row>
    <row r="382" spans="2:66" ht="11.25" customHeight="1">
      <c r="B382" s="2"/>
      <c r="C382" s="23"/>
      <c r="H382" s="23"/>
      <c r="S382" s="24"/>
      <c r="BN382" s="3"/>
    </row>
    <row r="383" spans="2:66" ht="11.25" customHeight="1">
      <c r="B383" s="2"/>
      <c r="C383" s="23"/>
      <c r="D383" s="24" t="s">
        <v>5</v>
      </c>
      <c r="H383" s="23"/>
      <c r="S383" s="24"/>
      <c r="BN383" s="3"/>
    </row>
    <row r="384" spans="2:66" ht="11.25" customHeight="1">
      <c r="B384" s="2"/>
      <c r="C384" s="24" t="s">
        <v>1</v>
      </c>
      <c r="D384" s="24"/>
      <c r="H384" s="23"/>
      <c r="S384" s="24"/>
      <c r="BN384" s="3"/>
    </row>
    <row r="385" spans="2:66" ht="11.25" customHeight="1">
      <c r="B385" s="2"/>
      <c r="C385" s="24"/>
      <c r="D385" s="24"/>
      <c r="H385" s="25" t="s">
        <v>4</v>
      </c>
      <c r="S385" s="25" t="s">
        <v>4</v>
      </c>
      <c r="AD385" s="1" t="s">
        <v>39</v>
      </c>
      <c r="BN385" s="3"/>
    </row>
    <row r="386" spans="2:66" ht="11.25" customHeight="1">
      <c r="B386" s="2"/>
      <c r="D386" s="23">
        <v>15</v>
      </c>
      <c r="H386" s="24"/>
      <c r="S386" s="24"/>
      <c r="BN386" s="3"/>
    </row>
    <row r="387" spans="2:66" ht="11.25" customHeight="1">
      <c r="B387" s="2"/>
      <c r="D387" s="23"/>
      <c r="BN387" s="3"/>
    </row>
    <row r="388" spans="2:66" ht="11.25" customHeight="1">
      <c r="B388" s="2"/>
      <c r="D388" s="23"/>
      <c r="J388" s="13">
        <f>(D386*C381/2-V388)</f>
        <v>23.322115384615383</v>
      </c>
      <c r="K388" s="13"/>
      <c r="L388" s="1" t="s">
        <v>8</v>
      </c>
      <c r="V388" s="13">
        <f>D386*C381/40*(4+3*N379)/N380</f>
        <v>2.9278846153846154</v>
      </c>
      <c r="W388" s="13"/>
      <c r="X388" s="1" t="s">
        <v>8</v>
      </c>
      <c r="BN388" s="3"/>
    </row>
    <row r="389" spans="2:66" ht="11.25" customHeight="1">
      <c r="B389" s="2"/>
      <c r="X389" s="13">
        <f>D386*C381^2/24*(-(8+3*N379)/(5*N380)-(2+9*N379)/N381)</f>
        <v>-18.088210702341136</v>
      </c>
      <c r="Y389" s="13"/>
      <c r="Z389" s="13"/>
      <c r="AI389" s="13">
        <f>D386*C381^2/24*(-(8+3*N379)/(5*N380)+(2+9*N379)/N381)</f>
        <v>6.5449414715719039</v>
      </c>
      <c r="AJ389" s="13"/>
      <c r="AK389" s="13"/>
      <c r="BN389" s="3"/>
    </row>
    <row r="390" spans="2:66" ht="11.25" customHeight="1">
      <c r="B390" s="2"/>
      <c r="I390" s="13"/>
      <c r="J390" s="13"/>
      <c r="K390" s="1" t="s">
        <v>11</v>
      </c>
      <c r="U390" s="13"/>
      <c r="V390" s="13"/>
      <c r="W390" s="1" t="s">
        <v>11</v>
      </c>
      <c r="BN390" s="3"/>
    </row>
    <row r="391" spans="2:66" ht="11.25" customHeight="1">
      <c r="B391" s="2"/>
      <c r="BN391" s="3"/>
    </row>
    <row r="392" spans="2:66" ht="11.25" customHeight="1">
      <c r="B392" s="2"/>
      <c r="G392" s="13">
        <f>D386*C381^2*N379/(4*M394*N381)</f>
        <v>1.3315217391304348</v>
      </c>
      <c r="H392" s="13"/>
      <c r="I392" s="1" t="s">
        <v>8</v>
      </c>
      <c r="S392" s="13">
        <f>+G392</f>
        <v>1.3315217391304348</v>
      </c>
      <c r="T392" s="13"/>
      <c r="U392" s="1" t="s">
        <v>8</v>
      </c>
      <c r="BN392" s="3"/>
    </row>
    <row r="393" spans="2:66" ht="11.25" customHeight="1">
      <c r="B393" s="2"/>
      <c r="BN393" s="3"/>
    </row>
    <row r="394" spans="2:66" ht="11.25" customHeight="1">
      <c r="B394" s="2"/>
      <c r="L394" s="1" t="s">
        <v>2</v>
      </c>
      <c r="M394" s="26">
        <v>4.5</v>
      </c>
      <c r="N394" s="26"/>
      <c r="O394" s="1" t="s">
        <v>0</v>
      </c>
      <c r="BN394" s="3"/>
    </row>
    <row r="395" spans="2:66" ht="11.25" customHeight="1">
      <c r="B395" s="2"/>
      <c r="BN395" s="3"/>
    </row>
    <row r="396" spans="2:66" ht="11.25" customHeight="1">
      <c r="B396" s="2"/>
      <c r="BN396" s="3"/>
    </row>
    <row r="397" spans="2:66" ht="11.25" customHeight="1">
      <c r="B397" s="2"/>
      <c r="AA397" s="13">
        <f>-K398*I418*O418/M420*(1/N404+(N407-N406)/(2*N405))</f>
        <v>-6.3127090301003337</v>
      </c>
      <c r="AB397" s="13"/>
      <c r="AC397" s="13"/>
      <c r="AL397" s="13">
        <f>-K398*I418*O418/M420*(1/N404-(N407-N406)/(2*N405))</f>
        <v>-5.2257525083612038</v>
      </c>
      <c r="AM397" s="13"/>
      <c r="AN397" s="13"/>
      <c r="BN397" s="3"/>
    </row>
    <row r="398" spans="2:66" ht="11.25" customHeight="1">
      <c r="B398" s="2"/>
      <c r="K398" s="26">
        <v>15</v>
      </c>
      <c r="L398" s="26"/>
      <c r="M398" s="1" t="s">
        <v>8</v>
      </c>
      <c r="BN398" s="3"/>
    </row>
    <row r="399" spans="2:66" ht="11.25" customHeight="1">
      <c r="B399" s="2"/>
      <c r="BN399" s="3"/>
    </row>
    <row r="400" spans="2:66" ht="11.25" customHeight="1">
      <c r="B400" s="2"/>
      <c r="X400" s="13">
        <f>+AA397</f>
        <v>-6.3127090301003337</v>
      </c>
      <c r="Y400" s="13"/>
      <c r="Z400" s="13"/>
      <c r="AP400" s="13">
        <f>+AL397</f>
        <v>-5.2257525083612038</v>
      </c>
      <c r="AQ400" s="13"/>
      <c r="AR400" s="13"/>
      <c r="BN400" s="3"/>
    </row>
    <row r="401" spans="2:66" ht="11.25" customHeight="1">
      <c r="B401" s="2"/>
      <c r="L401" s="5" t="s">
        <v>4</v>
      </c>
      <c r="M401" s="26">
        <v>351</v>
      </c>
      <c r="N401" s="26"/>
      <c r="O401" s="26"/>
      <c r="P401" s="1" t="s">
        <v>3</v>
      </c>
      <c r="BN401" s="3"/>
    </row>
    <row r="402" spans="2:66" ht="11.25" customHeight="1">
      <c r="B402" s="2"/>
      <c r="BN402" s="3"/>
    </row>
    <row r="403" spans="2:66" ht="11.25" customHeight="1">
      <c r="B403" s="2"/>
      <c r="H403" s="24" t="s">
        <v>3</v>
      </c>
      <c r="L403" s="1" t="s">
        <v>14</v>
      </c>
      <c r="N403" s="13">
        <f>+M401/H405*C405/M420</f>
        <v>0.60000000000000009</v>
      </c>
      <c r="O403" s="13"/>
      <c r="S403" s="24" t="s">
        <v>3</v>
      </c>
      <c r="BN403" s="3"/>
    </row>
    <row r="404" spans="2:66" ht="11.25" customHeight="1">
      <c r="B404" s="2"/>
      <c r="C404" s="6" t="s">
        <v>0</v>
      </c>
      <c r="H404" s="24"/>
      <c r="L404" s="1" t="s">
        <v>12</v>
      </c>
      <c r="N404" s="13">
        <f>N403+2</f>
        <v>2.6</v>
      </c>
      <c r="O404" s="13"/>
      <c r="S404" s="24"/>
      <c r="AE404" s="13">
        <f>K398*I418*O418/M420+AA397</f>
        <v>8.6872909698996672</v>
      </c>
      <c r="AF404" s="13"/>
      <c r="AG404" s="13"/>
      <c r="BN404" s="3"/>
    </row>
    <row r="405" spans="2:66" ht="11.25" customHeight="1">
      <c r="B405" s="2"/>
      <c r="C405" s="23">
        <v>3.5</v>
      </c>
      <c r="H405" s="23">
        <v>455</v>
      </c>
      <c r="L405" s="1" t="s">
        <v>13</v>
      </c>
      <c r="N405" s="13">
        <f>6*N403+1</f>
        <v>4.6000000000000005</v>
      </c>
      <c r="O405" s="13"/>
      <c r="S405" s="24">
        <f>+H405</f>
        <v>455</v>
      </c>
      <c r="BN405" s="3"/>
    </row>
    <row r="406" spans="2:66" ht="11.25" customHeight="1">
      <c r="B406" s="2"/>
      <c r="C406" s="23"/>
      <c r="H406" s="23"/>
      <c r="L406" s="5" t="s">
        <v>16</v>
      </c>
      <c r="N406" s="13">
        <f>I418/M420</f>
        <v>0.33333333333333331</v>
      </c>
      <c r="O406" s="13"/>
      <c r="S406" s="24"/>
      <c r="BN406" s="3"/>
    </row>
    <row r="407" spans="2:66" ht="11.25" customHeight="1">
      <c r="B407" s="2"/>
      <c r="C407" s="23"/>
      <c r="H407" s="23"/>
      <c r="L407" s="5" t="s">
        <v>15</v>
      </c>
      <c r="N407" s="13">
        <f>O418/M420</f>
        <v>0.66666666666666663</v>
      </c>
      <c r="O407" s="13"/>
      <c r="S407" s="24"/>
      <c r="AD407" s="1" t="s">
        <v>39</v>
      </c>
      <c r="BN407" s="3"/>
    </row>
    <row r="408" spans="2:66" ht="11.25" customHeight="1">
      <c r="B408" s="2"/>
      <c r="C408" s="24" t="s">
        <v>1</v>
      </c>
      <c r="H408" s="23"/>
      <c r="S408" s="24"/>
      <c r="BN408" s="3"/>
    </row>
    <row r="409" spans="2:66" ht="11.25" customHeight="1">
      <c r="B409" s="2"/>
      <c r="C409" s="24"/>
      <c r="H409" s="25" t="s">
        <v>4</v>
      </c>
      <c r="S409" s="25" t="s">
        <v>4</v>
      </c>
      <c r="BN409" s="3"/>
    </row>
    <row r="410" spans="2:66" ht="11.25" customHeight="1">
      <c r="B410" s="2"/>
      <c r="H410" s="24"/>
      <c r="S410" s="24"/>
      <c r="BN410" s="3"/>
    </row>
    <row r="411" spans="2:66" ht="11.25" customHeight="1">
      <c r="B411" s="2"/>
      <c r="BN411" s="3"/>
    </row>
    <row r="412" spans="2:66" ht="11.25" customHeight="1">
      <c r="B412" s="2"/>
      <c r="D412" s="13">
        <f>3*K398*I418*O418/(2*M420*C405*N404)</f>
        <v>2.4725274725274722</v>
      </c>
      <c r="E412" s="13"/>
      <c r="F412" s="1" t="s">
        <v>8</v>
      </c>
      <c r="V412" s="13">
        <f>+D412</f>
        <v>2.4725274725274722</v>
      </c>
      <c r="W412" s="13"/>
      <c r="X412" s="1" t="s">
        <v>8</v>
      </c>
      <c r="BN412" s="3"/>
    </row>
    <row r="413" spans="2:66" ht="11.25" customHeight="1">
      <c r="B413" s="2"/>
      <c r="AC413" s="13">
        <f>K398*I418*O418/M420*(1/(2*N404)-(N407-N406)/(2*N405))</f>
        <v>2.3411371237458192</v>
      </c>
      <c r="AD413" s="13"/>
      <c r="AE413" s="13"/>
      <c r="AJ413" s="13">
        <f>K398*I418*O418/M420*(1/(2*N404)+(N407-N406)/(2*N405))</f>
        <v>3.4280936454849495</v>
      </c>
      <c r="AK413" s="13"/>
      <c r="AL413" s="13"/>
      <c r="BN413" s="3"/>
    </row>
    <row r="414" spans="2:66" ht="11.25" customHeight="1">
      <c r="B414" s="2"/>
      <c r="D414" s="13">
        <f>+AC413</f>
        <v>2.3411371237458192</v>
      </c>
      <c r="E414" s="13"/>
      <c r="F414" s="1" t="s">
        <v>11</v>
      </c>
      <c r="U414" s="13">
        <f>+AJ413</f>
        <v>3.4280936454849495</v>
      </c>
      <c r="V414" s="13"/>
      <c r="W414" s="1" t="s">
        <v>11</v>
      </c>
      <c r="BN414" s="3"/>
    </row>
    <row r="415" spans="2:66" ht="11.25" customHeight="1">
      <c r="B415" s="2"/>
      <c r="BN415" s="3"/>
    </row>
    <row r="416" spans="2:66" ht="11.25" customHeight="1">
      <c r="B416" s="2"/>
      <c r="G416" s="13">
        <f>K398*N407*(1+N406*(N407-N406)/N405)</f>
        <v>10.241545893719808</v>
      </c>
      <c r="H416" s="13"/>
      <c r="I416" s="1" t="s">
        <v>8</v>
      </c>
      <c r="S416" s="13">
        <f>K398-G416</f>
        <v>4.7584541062801922</v>
      </c>
      <c r="T416" s="13"/>
      <c r="U416" s="1" t="s">
        <v>8</v>
      </c>
      <c r="BN416" s="3"/>
    </row>
    <row r="417" spans="2:66" ht="11.25" customHeight="1">
      <c r="B417" s="2"/>
      <c r="BN417" s="3"/>
    </row>
    <row r="418" spans="2:66" ht="11.25" customHeight="1">
      <c r="B418" s="2"/>
      <c r="I418" s="26">
        <v>1.5</v>
      </c>
      <c r="J418" s="26"/>
      <c r="K418" s="1" t="s">
        <v>0</v>
      </c>
      <c r="O418" s="13">
        <f>+M420-I418</f>
        <v>3</v>
      </c>
      <c r="P418" s="13"/>
      <c r="Q418" s="1" t="s">
        <v>0</v>
      </c>
      <c r="BN418" s="3"/>
    </row>
    <row r="419" spans="2:66" ht="11.25" customHeight="1">
      <c r="B419" s="2"/>
      <c r="BN419" s="3"/>
    </row>
    <row r="420" spans="2:66" ht="11.25" customHeight="1">
      <c r="B420" s="2"/>
      <c r="L420" s="1" t="s">
        <v>2</v>
      </c>
      <c r="M420" s="26">
        <v>4.5</v>
      </c>
      <c r="N420" s="26"/>
      <c r="O420" s="1" t="s">
        <v>0</v>
      </c>
      <c r="BN420" s="3"/>
    </row>
    <row r="421" spans="2:66" ht="11.25" customHeight="1">
      <c r="B421" s="2"/>
      <c r="BN421" s="3"/>
    </row>
    <row r="422" spans="2:66" ht="11.25" customHeight="1">
      <c r="B422" s="2"/>
      <c r="BN422" s="3"/>
    </row>
    <row r="423" spans="2:66" ht="11.25" customHeight="1">
      <c r="B423" s="2"/>
      <c r="AA423" s="13">
        <f>+-2*AC439</f>
        <v>-10.153846153846155</v>
      </c>
      <c r="AB423" s="13"/>
      <c r="AC423" s="13"/>
      <c r="AL423" s="13">
        <f>+AA423</f>
        <v>-10.153846153846155</v>
      </c>
      <c r="AM423" s="13"/>
      <c r="AN423" s="13"/>
      <c r="BN423" s="3"/>
    </row>
    <row r="424" spans="2:66" ht="11.25" customHeight="1">
      <c r="B424" s="2"/>
      <c r="K424" s="26">
        <v>15</v>
      </c>
      <c r="L424" s="26"/>
      <c r="M424" s="1" t="s">
        <v>8</v>
      </c>
      <c r="O424" s="13">
        <f>+K424</f>
        <v>15</v>
      </c>
      <c r="P424" s="13"/>
      <c r="Q424" s="1" t="s">
        <v>8</v>
      </c>
      <c r="BN424" s="3"/>
    </row>
    <row r="425" spans="2:66" ht="11.25" customHeight="1">
      <c r="B425" s="2"/>
      <c r="BN425" s="3"/>
    </row>
    <row r="426" spans="2:66" ht="11.25" customHeight="1">
      <c r="B426" s="2"/>
      <c r="X426" s="13">
        <f>+AA423</f>
        <v>-10.153846153846155</v>
      </c>
      <c r="Y426" s="13"/>
      <c r="Z426" s="13"/>
      <c r="AP426" s="13">
        <f>+AL423</f>
        <v>-10.153846153846155</v>
      </c>
      <c r="AQ426" s="13"/>
      <c r="AR426" s="13"/>
      <c r="BN426" s="3"/>
    </row>
    <row r="427" spans="2:66" ht="11.25" customHeight="1">
      <c r="B427" s="2"/>
      <c r="L427" s="5" t="s">
        <v>4</v>
      </c>
      <c r="M427" s="26">
        <v>351</v>
      </c>
      <c r="N427" s="26"/>
      <c r="O427" s="26"/>
      <c r="P427" s="1" t="s">
        <v>3</v>
      </c>
      <c r="BN427" s="3"/>
    </row>
    <row r="428" spans="2:66" ht="11.25" customHeight="1">
      <c r="B428" s="2"/>
      <c r="BN428" s="3"/>
    </row>
    <row r="429" spans="2:66" ht="11.25" customHeight="1">
      <c r="B429" s="2"/>
      <c r="H429" s="24" t="s">
        <v>3</v>
      </c>
      <c r="L429" s="1" t="s">
        <v>14</v>
      </c>
      <c r="N429" s="13">
        <f>+M427/H431*C431/M446</f>
        <v>0.60000000000000009</v>
      </c>
      <c r="O429" s="13"/>
      <c r="S429" s="24" t="s">
        <v>3</v>
      </c>
      <c r="BN429" s="3"/>
    </row>
    <row r="430" spans="2:66" ht="11.25" customHeight="1">
      <c r="B430" s="2"/>
      <c r="C430" s="6" t="s">
        <v>0</v>
      </c>
      <c r="H430" s="24"/>
      <c r="L430" s="1" t="s">
        <v>12</v>
      </c>
      <c r="N430" s="13">
        <f>N429+2</f>
        <v>2.6</v>
      </c>
      <c r="O430" s="13"/>
      <c r="S430" s="24"/>
      <c r="AE430" s="13">
        <f>K424*I444+AA423</f>
        <v>7.8461538461538449</v>
      </c>
      <c r="AF430" s="13"/>
      <c r="AG430" s="13"/>
      <c r="AI430" s="13">
        <f>+AE430</f>
        <v>7.8461538461538449</v>
      </c>
      <c r="AJ430" s="13"/>
      <c r="AK430" s="13"/>
      <c r="BN430" s="3"/>
    </row>
    <row r="431" spans="2:66" ht="11.25" customHeight="1">
      <c r="B431" s="2"/>
      <c r="C431" s="23">
        <v>3.5</v>
      </c>
      <c r="H431" s="23">
        <v>455</v>
      </c>
      <c r="L431" s="1" t="s">
        <v>13</v>
      </c>
      <c r="N431" s="13">
        <f>6*N429+1</f>
        <v>4.6000000000000005</v>
      </c>
      <c r="O431" s="13"/>
      <c r="S431" s="24">
        <f>+H431</f>
        <v>455</v>
      </c>
      <c r="BN431" s="3"/>
    </row>
    <row r="432" spans="2:66" ht="11.25" customHeight="1">
      <c r="B432" s="2"/>
      <c r="C432" s="23"/>
      <c r="H432" s="23"/>
      <c r="L432" s="5" t="s">
        <v>16</v>
      </c>
      <c r="N432" s="13">
        <f>I444/M446</f>
        <v>0.26666666666666666</v>
      </c>
      <c r="O432" s="13"/>
      <c r="S432" s="24"/>
      <c r="AD432" s="1" t="s">
        <v>39</v>
      </c>
      <c r="BN432" s="3"/>
    </row>
    <row r="433" spans="2:66" ht="11.25" customHeight="1">
      <c r="B433" s="2"/>
      <c r="C433" s="23"/>
      <c r="H433" s="23"/>
      <c r="S433" s="24"/>
      <c r="BN433" s="3"/>
    </row>
    <row r="434" spans="2:66" ht="11.25" customHeight="1">
      <c r="B434" s="2"/>
      <c r="C434" s="24" t="s">
        <v>1</v>
      </c>
      <c r="H434" s="23"/>
      <c r="S434" s="24"/>
      <c r="AF434" s="6" t="s">
        <v>0</v>
      </c>
      <c r="BN434" s="3"/>
    </row>
    <row r="435" spans="2:66" ht="11.25" customHeight="1">
      <c r="B435" s="2"/>
      <c r="C435" s="24"/>
      <c r="H435" s="25" t="s">
        <v>4</v>
      </c>
      <c r="S435" s="25" t="s">
        <v>4</v>
      </c>
      <c r="AF435" s="24">
        <f>+C431/3</f>
        <v>1.1666666666666667</v>
      </c>
      <c r="BN435" s="3"/>
    </row>
    <row r="436" spans="2:66" ht="11.25" customHeight="1">
      <c r="B436" s="2"/>
      <c r="H436" s="24"/>
      <c r="S436" s="24"/>
      <c r="AF436" s="24"/>
      <c r="BN436" s="3"/>
    </row>
    <row r="437" spans="2:66" ht="11.25" customHeight="1">
      <c r="B437" s="2"/>
      <c r="AF437" s="24"/>
      <c r="BN437" s="3"/>
    </row>
    <row r="438" spans="2:66" ht="11.25" customHeight="1">
      <c r="B438" s="2"/>
      <c r="D438" s="13">
        <f>3*AC439/C431</f>
        <v>4.3516483516483522</v>
      </c>
      <c r="E438" s="13"/>
      <c r="F438" s="1" t="s">
        <v>8</v>
      </c>
      <c r="V438" s="13">
        <f>+D438</f>
        <v>4.3516483516483522</v>
      </c>
      <c r="W438" s="13"/>
      <c r="X438" s="1" t="s">
        <v>8</v>
      </c>
      <c r="BN438" s="3"/>
    </row>
    <row r="439" spans="2:66" ht="11.25" customHeight="1">
      <c r="B439" s="2"/>
      <c r="AC439" s="13">
        <f>K424*I444*(1-N432)/N430</f>
        <v>5.0769230769230775</v>
      </c>
      <c r="AD439" s="13"/>
      <c r="AE439" s="13"/>
      <c r="AJ439" s="13">
        <f>+AC439</f>
        <v>5.0769230769230775</v>
      </c>
      <c r="AK439" s="13"/>
      <c r="AL439" s="13"/>
      <c r="BN439" s="3"/>
    </row>
    <row r="440" spans="2:66" ht="11.25" customHeight="1">
      <c r="B440" s="2"/>
      <c r="D440" s="13">
        <f>+AC439</f>
        <v>5.0769230769230775</v>
      </c>
      <c r="E440" s="13"/>
      <c r="F440" s="1" t="s">
        <v>11</v>
      </c>
      <c r="U440" s="13">
        <f>+AJ439</f>
        <v>5.0769230769230775</v>
      </c>
      <c r="V440" s="13"/>
      <c r="W440" s="1" t="s">
        <v>11</v>
      </c>
      <c r="BN440" s="3"/>
    </row>
    <row r="441" spans="2:66" ht="11.25" customHeight="1">
      <c r="B441" s="2"/>
      <c r="BN441" s="3"/>
    </row>
    <row r="442" spans="2:66" ht="11.25" customHeight="1">
      <c r="B442" s="2"/>
      <c r="G442" s="13">
        <f>+K424</f>
        <v>15</v>
      </c>
      <c r="H442" s="13"/>
      <c r="I442" s="1" t="s">
        <v>8</v>
      </c>
      <c r="S442" s="13">
        <f>+G442</f>
        <v>15</v>
      </c>
      <c r="T442" s="13"/>
      <c r="U442" s="1" t="s">
        <v>8</v>
      </c>
      <c r="BN442" s="3"/>
    </row>
    <row r="443" spans="2:66" ht="11.25" customHeight="1">
      <c r="B443" s="2"/>
      <c r="BN443" s="3"/>
    </row>
    <row r="444" spans="2:66" ht="11.25" customHeight="1">
      <c r="B444" s="2"/>
      <c r="I444" s="26">
        <v>1.2</v>
      </c>
      <c r="J444" s="26"/>
      <c r="K444" s="1" t="s">
        <v>0</v>
      </c>
      <c r="M444" s="13">
        <f>+M446-I444-Q444</f>
        <v>2.0999999999999996</v>
      </c>
      <c r="N444" s="13"/>
      <c r="O444" s="1" t="s">
        <v>0</v>
      </c>
      <c r="Q444" s="13">
        <f>+I444</f>
        <v>1.2</v>
      </c>
      <c r="R444" s="13"/>
      <c r="S444" s="1" t="s">
        <v>0</v>
      </c>
      <c r="BN444" s="3"/>
    </row>
    <row r="445" spans="2:66" ht="11.25" customHeight="1">
      <c r="B445" s="2"/>
      <c r="BN445" s="3"/>
    </row>
    <row r="446" spans="2:66" ht="11.25" customHeight="1">
      <c r="B446" s="2"/>
      <c r="L446" s="1" t="s">
        <v>2</v>
      </c>
      <c r="M446" s="26">
        <v>4.5</v>
      </c>
      <c r="N446" s="26"/>
      <c r="O446" s="1" t="s">
        <v>0</v>
      </c>
      <c r="BN446" s="3"/>
    </row>
    <row r="447" spans="2:66" ht="11.25" customHeight="1">
      <c r="B447" s="2"/>
      <c r="BN447" s="3"/>
    </row>
    <row r="448" spans="2:66" ht="11.25" customHeight="1">
      <c r="B448" s="2"/>
      <c r="BN448" s="3"/>
    </row>
    <row r="449" spans="2:66" ht="11.25" customHeight="1">
      <c r="B449" s="2"/>
      <c r="AL449" s="13">
        <f>+AP452</f>
        <v>-10.271739130434783</v>
      </c>
      <c r="AM449" s="13"/>
      <c r="AN449" s="13"/>
      <c r="BN449" s="3"/>
    </row>
    <row r="450" spans="2:66" ht="11.25" customHeight="1">
      <c r="B450" s="2"/>
      <c r="BN450" s="3"/>
    </row>
    <row r="451" spans="2:66" ht="11.25" customHeight="1">
      <c r="B451" s="2"/>
      <c r="BN451" s="3"/>
    </row>
    <row r="452" spans="2:66" ht="11.25" customHeight="1">
      <c r="B452" s="2"/>
      <c r="D452" s="26">
        <v>15</v>
      </c>
      <c r="E452" s="26"/>
      <c r="F452" s="1" t="s">
        <v>8</v>
      </c>
      <c r="AD452" s="13">
        <f>+Y455</f>
        <v>10.271739130434783</v>
      </c>
      <c r="AE452" s="13"/>
      <c r="AF452" s="13"/>
      <c r="AP452" s="13">
        <f>-Y455</f>
        <v>-10.271739130434783</v>
      </c>
      <c r="AQ452" s="13"/>
      <c r="AR452" s="13"/>
      <c r="BN452" s="3"/>
    </row>
    <row r="453" spans="2:66" ht="11.25" customHeight="1">
      <c r="B453" s="2"/>
      <c r="L453" s="5" t="s">
        <v>4</v>
      </c>
      <c r="M453" s="26">
        <v>351</v>
      </c>
      <c r="N453" s="26"/>
      <c r="O453" s="26"/>
      <c r="P453" s="1" t="s">
        <v>3</v>
      </c>
      <c r="BN453" s="3"/>
    </row>
    <row r="454" spans="2:66" ht="11.25" customHeight="1">
      <c r="B454" s="2"/>
      <c r="BN454" s="3"/>
    </row>
    <row r="455" spans="2:66" ht="11.25" customHeight="1">
      <c r="B455" s="2"/>
      <c r="H455" s="24" t="s">
        <v>3</v>
      </c>
      <c r="L455" s="1" t="s">
        <v>14</v>
      </c>
      <c r="N455" s="13">
        <f>+M453/H457*C457/M470</f>
        <v>0.60000000000000009</v>
      </c>
      <c r="O455" s="13"/>
      <c r="S455" s="24" t="s">
        <v>3</v>
      </c>
      <c r="Y455" s="13">
        <f>D452*C457/2*3*N455/N457</f>
        <v>10.271739130434783</v>
      </c>
      <c r="Z455" s="13"/>
      <c r="AA455" s="13"/>
      <c r="BN455" s="3"/>
    </row>
    <row r="456" spans="2:66" ht="11.25" customHeight="1">
      <c r="B456" s="2"/>
      <c r="C456" s="6" t="s">
        <v>0</v>
      </c>
      <c r="H456" s="24"/>
      <c r="L456" s="1" t="s">
        <v>12</v>
      </c>
      <c r="N456" s="13">
        <f>N455+2</f>
        <v>2.6</v>
      </c>
      <c r="O456" s="13"/>
      <c r="S456" s="24"/>
      <c r="BN456" s="3"/>
    </row>
    <row r="457" spans="2:66" ht="11.25" customHeight="1">
      <c r="B457" s="2"/>
      <c r="C457" s="23">
        <v>3.5</v>
      </c>
      <c r="H457" s="23">
        <v>455</v>
      </c>
      <c r="L457" s="1" t="s">
        <v>13</v>
      </c>
      <c r="N457" s="13">
        <f>6*N455+1</f>
        <v>4.6000000000000005</v>
      </c>
      <c r="O457" s="13"/>
      <c r="S457" s="24">
        <f>+H457</f>
        <v>455</v>
      </c>
      <c r="BN457" s="3"/>
    </row>
    <row r="458" spans="2:66" ht="11.25" customHeight="1">
      <c r="B458" s="2"/>
      <c r="C458" s="23"/>
      <c r="H458" s="23"/>
      <c r="S458" s="24"/>
      <c r="BN458" s="3"/>
    </row>
    <row r="459" spans="2:66" ht="11.25" customHeight="1">
      <c r="B459" s="2"/>
      <c r="C459" s="23"/>
      <c r="H459" s="23"/>
      <c r="S459" s="24"/>
      <c r="AD459" s="1" t="s">
        <v>39</v>
      </c>
      <c r="BN459" s="3"/>
    </row>
    <row r="460" spans="2:66" ht="11.25" customHeight="1">
      <c r="B460" s="2"/>
      <c r="C460" s="24" t="s">
        <v>1</v>
      </c>
      <c r="H460" s="23"/>
      <c r="S460" s="24"/>
      <c r="BN460" s="3"/>
    </row>
    <row r="461" spans="2:66" ht="11.25" customHeight="1">
      <c r="B461" s="2"/>
      <c r="C461" s="24"/>
      <c r="H461" s="25" t="s">
        <v>4</v>
      </c>
      <c r="S461" s="25" t="s">
        <v>4</v>
      </c>
      <c r="BN461" s="3"/>
    </row>
    <row r="462" spans="2:66" ht="11.25" customHeight="1">
      <c r="B462" s="2"/>
      <c r="H462" s="24"/>
      <c r="S462" s="24"/>
      <c r="BN462" s="3"/>
    </row>
    <row r="463" spans="2:66" ht="11.25" customHeight="1">
      <c r="B463" s="2"/>
      <c r="BN463" s="3"/>
    </row>
    <row r="464" spans="2:66" ht="11.25" customHeight="1">
      <c r="B464" s="2"/>
      <c r="J464" s="13">
        <f>+D452/2</f>
        <v>7.5</v>
      </c>
      <c r="K464" s="13"/>
      <c r="L464" s="1" t="s">
        <v>8</v>
      </c>
      <c r="V464" s="13">
        <f>+J464</f>
        <v>7.5</v>
      </c>
      <c r="W464" s="13"/>
      <c r="X464" s="1" t="s">
        <v>8</v>
      </c>
      <c r="BN464" s="3"/>
    </row>
    <row r="465" spans="2:66" ht="11.25" customHeight="1">
      <c r="B465" s="2"/>
      <c r="X465" s="13">
        <f>-D452*C457/2*(1+3*N455)/N457</f>
        <v>-15.978260869565215</v>
      </c>
      <c r="Y465" s="13"/>
      <c r="Z465" s="13"/>
      <c r="AI465" s="13">
        <f>D452*C457/2*(1+3*N455)/N457</f>
        <v>15.978260869565215</v>
      </c>
      <c r="AJ465" s="13"/>
      <c r="AK465" s="13"/>
      <c r="BN465" s="3"/>
    </row>
    <row r="466" spans="2:66" ht="11.25" customHeight="1">
      <c r="B466" s="2"/>
      <c r="I466" s="13">
        <f>-X465</f>
        <v>15.978260869565215</v>
      </c>
      <c r="J466" s="13"/>
      <c r="K466" s="1" t="s">
        <v>11</v>
      </c>
      <c r="U466" s="13">
        <f>+AI465</f>
        <v>15.978260869565215</v>
      </c>
      <c r="V466" s="13"/>
      <c r="W466" s="1" t="s">
        <v>11</v>
      </c>
      <c r="BN466" s="3"/>
    </row>
    <row r="467" spans="2:66" ht="11.25" customHeight="1">
      <c r="B467" s="2"/>
      <c r="BN467" s="3"/>
    </row>
    <row r="468" spans="2:66" ht="11.25" customHeight="1">
      <c r="B468" s="2"/>
      <c r="G468" s="13">
        <f>2*Y455/C457</f>
        <v>5.8695652173913047</v>
      </c>
      <c r="H468" s="13"/>
      <c r="I468" s="1" t="s">
        <v>8</v>
      </c>
      <c r="S468" s="13">
        <f>+G468</f>
        <v>5.8695652173913047</v>
      </c>
      <c r="T468" s="13"/>
      <c r="U468" s="1" t="s">
        <v>8</v>
      </c>
      <c r="BN468" s="3"/>
    </row>
    <row r="469" spans="2:66" ht="11.25" customHeight="1">
      <c r="B469" s="2"/>
      <c r="BN469" s="3"/>
    </row>
    <row r="470" spans="2:66" ht="11.25" customHeight="1">
      <c r="B470" s="2"/>
      <c r="L470" s="1" t="s">
        <v>2</v>
      </c>
      <c r="M470" s="26">
        <v>4.5</v>
      </c>
      <c r="N470" s="26"/>
      <c r="O470" s="1" t="s">
        <v>0</v>
      </c>
      <c r="BN470" s="3"/>
    </row>
    <row r="471" spans="2:66" ht="11.25" customHeight="1">
      <c r="B471" s="2"/>
      <c r="BN471" s="3"/>
    </row>
    <row r="472" spans="2:66" ht="11.25" customHeight="1">
      <c r="B472" s="2"/>
      <c r="BN472" s="3"/>
    </row>
    <row r="473" spans="2:66" ht="11.25" customHeight="1">
      <c r="B473" s="2"/>
      <c r="BN473" s="3"/>
    </row>
    <row r="474" spans="2:66" ht="11.25" customHeight="1">
      <c r="B474" s="2"/>
      <c r="AA474" s="13">
        <f>-(F476-AD478)</f>
        <v>-12.667224080267559</v>
      </c>
      <c r="AB474" s="13"/>
      <c r="AC474" s="13"/>
      <c r="BN474" s="3"/>
    </row>
    <row r="475" spans="2:66" ht="11.25" customHeight="1">
      <c r="B475" s="2"/>
      <c r="BN475" s="3"/>
    </row>
    <row r="476" spans="2:66" ht="11.25" customHeight="1">
      <c r="B476" s="2"/>
      <c r="F476" s="26">
        <v>25</v>
      </c>
      <c r="G476" s="26"/>
      <c r="H476" s="26"/>
      <c r="I476" s="1" t="s">
        <v>11</v>
      </c>
      <c r="BN476" s="3"/>
    </row>
    <row r="477" spans="2:66" ht="11.25" customHeight="1">
      <c r="B477" s="2"/>
      <c r="BN477" s="3"/>
    </row>
    <row r="478" spans="2:66" ht="11.25" customHeight="1">
      <c r="B478" s="2"/>
      <c r="AD478" s="13">
        <f>F476/N482+F476/(2*N483)</f>
        <v>12.332775919732441</v>
      </c>
      <c r="AE478" s="13"/>
      <c r="AF478" s="13"/>
      <c r="AI478" s="13">
        <f>+AN482</f>
        <v>6.8979933110367888</v>
      </c>
      <c r="AJ478" s="13"/>
      <c r="AK478" s="13"/>
      <c r="BN478" s="3"/>
    </row>
    <row r="479" spans="2:66" ht="11.25" customHeight="1">
      <c r="B479" s="2"/>
      <c r="L479" s="5" t="s">
        <v>4</v>
      </c>
      <c r="M479" s="26">
        <v>351</v>
      </c>
      <c r="N479" s="26"/>
      <c r="O479" s="26"/>
      <c r="P479" s="1" t="s">
        <v>3</v>
      </c>
      <c r="BN479" s="3"/>
    </row>
    <row r="480" spans="2:66" ht="11.25" customHeight="1">
      <c r="B480" s="2"/>
      <c r="BN480" s="3"/>
    </row>
    <row r="481" spans="2:66" ht="11.25" customHeight="1">
      <c r="B481" s="2"/>
      <c r="H481" s="24" t="s">
        <v>3</v>
      </c>
      <c r="L481" s="1" t="s">
        <v>14</v>
      </c>
      <c r="N481" s="13">
        <f>+M479/H483*C483/M496</f>
        <v>0.60000000000000009</v>
      </c>
      <c r="O481" s="13"/>
      <c r="S481" s="24" t="s">
        <v>3</v>
      </c>
      <c r="BN481" s="3"/>
    </row>
    <row r="482" spans="2:66" ht="11.25" customHeight="1">
      <c r="B482" s="2"/>
      <c r="C482" s="6" t="s">
        <v>0</v>
      </c>
      <c r="H482" s="24"/>
      <c r="L482" s="1" t="s">
        <v>12</v>
      </c>
      <c r="N482" s="13">
        <f>N481+2</f>
        <v>2.6</v>
      </c>
      <c r="O482" s="13"/>
      <c r="S482" s="24"/>
      <c r="AN482" s="13">
        <f>F476/N482-F476/(2*N483)</f>
        <v>6.8979933110367888</v>
      </c>
      <c r="AO482" s="13"/>
      <c r="AP482" s="13"/>
      <c r="BN482" s="3"/>
    </row>
    <row r="483" spans="2:66" ht="11.25" customHeight="1">
      <c r="B483" s="2"/>
      <c r="C483" s="23">
        <v>3.5</v>
      </c>
      <c r="H483" s="23">
        <v>455</v>
      </c>
      <c r="L483" s="1" t="s">
        <v>13</v>
      </c>
      <c r="N483" s="13">
        <f>6*N481+1</f>
        <v>4.6000000000000005</v>
      </c>
      <c r="O483" s="13"/>
      <c r="S483" s="24">
        <f>+H483</f>
        <v>455</v>
      </c>
      <c r="BN483" s="3"/>
    </row>
    <row r="484" spans="2:66" ht="11.25" customHeight="1">
      <c r="B484" s="2"/>
      <c r="C484" s="23"/>
      <c r="H484" s="23"/>
      <c r="S484" s="24"/>
      <c r="BN484" s="3"/>
    </row>
    <row r="485" spans="2:66" ht="11.25" customHeight="1">
      <c r="B485" s="2"/>
      <c r="C485" s="23"/>
      <c r="H485" s="23"/>
      <c r="S485" s="24"/>
      <c r="BN485" s="3"/>
    </row>
    <row r="486" spans="2:66" ht="11.25" customHeight="1">
      <c r="B486" s="2"/>
      <c r="C486" s="24" t="s">
        <v>1</v>
      </c>
      <c r="H486" s="23"/>
      <c r="S486" s="24"/>
      <c r="AD486" s="1" t="s">
        <v>39</v>
      </c>
      <c r="BN486" s="3"/>
    </row>
    <row r="487" spans="2:66" ht="11.25" customHeight="1">
      <c r="B487" s="2"/>
      <c r="C487" s="24"/>
      <c r="H487" s="25" t="s">
        <v>4</v>
      </c>
      <c r="S487" s="25" t="s">
        <v>4</v>
      </c>
      <c r="BN487" s="3"/>
    </row>
    <row r="488" spans="2:66" ht="11.25" customHeight="1">
      <c r="B488" s="2"/>
      <c r="H488" s="24"/>
      <c r="S488" s="24"/>
      <c r="BN488" s="3"/>
    </row>
    <row r="489" spans="2:66" ht="11.25" customHeight="1">
      <c r="B489" s="2"/>
      <c r="BN489" s="3"/>
    </row>
    <row r="490" spans="2:66" ht="11.25" customHeight="1">
      <c r="B490" s="2"/>
      <c r="J490" s="13">
        <f>3*F476/(2*C483*N482)</f>
        <v>4.1208791208791213</v>
      </c>
      <c r="K490" s="13"/>
      <c r="L490" s="1" t="s">
        <v>8</v>
      </c>
      <c r="P490" s="13">
        <f>+J490</f>
        <v>4.1208791208791213</v>
      </c>
      <c r="Q490" s="13"/>
      <c r="R490" s="1" t="s">
        <v>8</v>
      </c>
      <c r="BN490" s="3"/>
    </row>
    <row r="491" spans="2:66" ht="11.25" customHeight="1">
      <c r="B491" s="2"/>
      <c r="X491" s="13">
        <f>-F476/(2*N482)+F476/(2*N483)</f>
        <v>-2.0903010033444818</v>
      </c>
      <c r="Y491" s="13"/>
      <c r="Z491" s="13"/>
      <c r="AO491" s="13">
        <f>-F476/(2*N482)-F476/(2*N483)</f>
        <v>-7.5250836120401328</v>
      </c>
      <c r="AP491" s="13"/>
      <c r="AQ491" s="13"/>
      <c r="BN491" s="3"/>
    </row>
    <row r="492" spans="2:66" ht="11.25" customHeight="1">
      <c r="B492" s="2"/>
      <c r="I492" s="13">
        <f>-X491</f>
        <v>2.0903010033444818</v>
      </c>
      <c r="J492" s="13"/>
      <c r="K492" s="1" t="s">
        <v>11</v>
      </c>
      <c r="O492" s="13">
        <f>-AO491</f>
        <v>7.5250836120401328</v>
      </c>
      <c r="P492" s="13"/>
      <c r="Q492" s="1" t="s">
        <v>11</v>
      </c>
      <c r="BN492" s="3"/>
    </row>
    <row r="493" spans="2:66" ht="11.25" customHeight="1">
      <c r="B493" s="2"/>
      <c r="BN493" s="3"/>
    </row>
    <row r="494" spans="2:66" ht="11.25" customHeight="1">
      <c r="B494" s="2"/>
      <c r="G494" s="13">
        <f>6*F476*N481/(M496*N483)</f>
        <v>4.3478260869565215</v>
      </c>
      <c r="H494" s="13"/>
      <c r="I494" s="1" t="s">
        <v>8</v>
      </c>
      <c r="S494" s="13">
        <f>+G494</f>
        <v>4.3478260869565215</v>
      </c>
      <c r="T494" s="13"/>
      <c r="U494" s="1" t="s">
        <v>8</v>
      </c>
      <c r="BN494" s="3"/>
    </row>
    <row r="495" spans="2:66" ht="11.25" customHeight="1">
      <c r="B495" s="2"/>
      <c r="BN495" s="3"/>
    </row>
    <row r="496" spans="2:66" ht="11.25" customHeight="1">
      <c r="B496" s="2"/>
      <c r="L496" s="1" t="s">
        <v>2</v>
      </c>
      <c r="M496" s="26">
        <v>4.5</v>
      </c>
      <c r="N496" s="26"/>
      <c r="O496" s="1" t="s">
        <v>0</v>
      </c>
      <c r="BN496" s="3"/>
    </row>
    <row r="497" spans="2:66" ht="11.25" customHeight="1">
      <c r="B497" s="2"/>
      <c r="BN497" s="3"/>
    </row>
    <row r="498" spans="2:66" ht="11.25" customHeight="1">
      <c r="B498" s="2"/>
      <c r="BN498" s="3"/>
    </row>
    <row r="499" spans="2:66" ht="11.25" customHeight="1">
      <c r="B499" s="2"/>
      <c r="BN499" s="3"/>
    </row>
    <row r="500" spans="2:66" ht="11.25" customHeight="1">
      <c r="B500" s="2"/>
      <c r="AL500" s="13">
        <f>+N512-N513</f>
        <v>-2.9835451505016719</v>
      </c>
      <c r="AM500" s="13"/>
      <c r="AN500" s="13"/>
      <c r="BN500" s="3"/>
    </row>
    <row r="501" spans="2:66" ht="11.25" customHeight="1">
      <c r="B501" s="2"/>
      <c r="H501" s="26">
        <v>0.8</v>
      </c>
      <c r="I501" s="26"/>
      <c r="J501" s="1" t="s">
        <v>0</v>
      </c>
      <c r="BN501" s="3"/>
    </row>
    <row r="502" spans="2:66" ht="11.25" customHeight="1">
      <c r="B502" s="2"/>
      <c r="BN502" s="3"/>
    </row>
    <row r="503" spans="2:66" ht="11.25" customHeight="1">
      <c r="B503" s="2"/>
      <c r="AC503" s="13">
        <f>N512+N513</f>
        <v>2.6512374581939797</v>
      </c>
      <c r="AD503" s="13"/>
      <c r="AE503" s="13"/>
      <c r="AP503" s="13">
        <f>+AL500</f>
        <v>-2.9835451505016719</v>
      </c>
      <c r="AQ503" s="13"/>
      <c r="AR503" s="13"/>
      <c r="BN503" s="3"/>
    </row>
    <row r="504" spans="2:66" ht="11.25" customHeight="1">
      <c r="B504" s="2"/>
      <c r="E504" s="6" t="s">
        <v>0</v>
      </c>
      <c r="L504" s="5" t="s">
        <v>4</v>
      </c>
      <c r="M504" s="26">
        <v>351</v>
      </c>
      <c r="N504" s="26"/>
      <c r="O504" s="26"/>
      <c r="P504" s="1" t="s">
        <v>3</v>
      </c>
      <c r="BN504" s="3"/>
    </row>
    <row r="505" spans="2:66" ht="11.25" customHeight="1">
      <c r="B505" s="2"/>
      <c r="E505" s="24">
        <f>+C508-E511</f>
        <v>1.4</v>
      </c>
      <c r="W505" s="13"/>
      <c r="X505" s="13"/>
      <c r="Y505" s="13"/>
      <c r="BN505" s="3"/>
    </row>
    <row r="506" spans="2:66" ht="11.25" customHeight="1">
      <c r="B506" s="2"/>
      <c r="E506" s="24"/>
      <c r="H506" s="24" t="s">
        <v>3</v>
      </c>
      <c r="I506" s="26">
        <v>15</v>
      </c>
      <c r="J506" s="26"/>
      <c r="K506" s="1" t="s">
        <v>8</v>
      </c>
      <c r="L506" s="1" t="s">
        <v>14</v>
      </c>
      <c r="N506" s="13">
        <f>+M504/H508*C508/M521</f>
        <v>0.60000000000000009</v>
      </c>
      <c r="O506" s="13"/>
      <c r="S506" s="24" t="s">
        <v>3</v>
      </c>
      <c r="W506" s="13">
        <f>AC516-D515*E511</f>
        <v>-6.2250702341137121</v>
      </c>
      <c r="X506" s="13"/>
      <c r="Y506" s="13"/>
      <c r="BN506" s="3"/>
    </row>
    <row r="507" spans="2:66" ht="11.25" customHeight="1">
      <c r="B507" s="2"/>
      <c r="C507" s="6" t="s">
        <v>0</v>
      </c>
      <c r="E507" s="24"/>
      <c r="H507" s="24"/>
      <c r="L507" s="1" t="s">
        <v>12</v>
      </c>
      <c r="N507" s="13">
        <f>N506+2</f>
        <v>2.6</v>
      </c>
      <c r="O507" s="13"/>
      <c r="S507" s="24"/>
      <c r="AE507" s="13">
        <f>+AB509+V515*E505</f>
        <v>5.774929765886287</v>
      </c>
      <c r="AF507" s="13"/>
      <c r="AG507" s="13"/>
      <c r="BN507" s="3"/>
    </row>
    <row r="508" spans="2:66" ht="11.25" customHeight="1">
      <c r="B508" s="2"/>
      <c r="C508" s="23">
        <v>3.5</v>
      </c>
      <c r="H508" s="23">
        <v>455</v>
      </c>
      <c r="L508" s="1" t="s">
        <v>13</v>
      </c>
      <c r="N508" s="13">
        <f>6*N506+1</f>
        <v>4.6000000000000005</v>
      </c>
      <c r="O508" s="13"/>
      <c r="S508" s="24">
        <f>+H508</f>
        <v>455</v>
      </c>
      <c r="BN508" s="3"/>
    </row>
    <row r="509" spans="2:66" ht="11.25" customHeight="1">
      <c r="B509" s="2"/>
      <c r="C509" s="23"/>
      <c r="H509" s="23"/>
      <c r="L509" s="5" t="s">
        <v>16</v>
      </c>
      <c r="N509" s="13">
        <f>+E511/C508</f>
        <v>0.6</v>
      </c>
      <c r="O509" s="13"/>
      <c r="S509" s="24"/>
      <c r="AB509" s="13">
        <f>+AC503</f>
        <v>2.6512374581939797</v>
      </c>
      <c r="AC509" s="13"/>
      <c r="AD509" s="13"/>
      <c r="BN509" s="3"/>
    </row>
    <row r="510" spans="2:66" ht="11.25" customHeight="1">
      <c r="B510" s="2"/>
      <c r="C510" s="23"/>
      <c r="E510" s="6" t="s">
        <v>0</v>
      </c>
      <c r="H510" s="23"/>
      <c r="L510" s="5" t="s">
        <v>15</v>
      </c>
      <c r="N510" s="13">
        <f>+E505/C508</f>
        <v>0.39999999999999997</v>
      </c>
      <c r="O510" s="13"/>
      <c r="S510" s="24"/>
      <c r="BN510" s="3"/>
    </row>
    <row r="511" spans="2:66" ht="11.25" customHeight="1">
      <c r="B511" s="2"/>
      <c r="C511" s="24" t="s">
        <v>1</v>
      </c>
      <c r="E511" s="23">
        <v>2.1</v>
      </c>
      <c r="H511" s="23"/>
      <c r="L511" s="1" t="s">
        <v>19</v>
      </c>
      <c r="N511" s="13">
        <f>I506*H501/(2*N507)*(1+2*N510*N506-3*N510^2*(1+N506))</f>
        <v>1.6430769230769231</v>
      </c>
      <c r="O511" s="13"/>
      <c r="S511" s="24"/>
      <c r="AD511" s="1" t="s">
        <v>39</v>
      </c>
      <c r="BN511" s="3"/>
    </row>
    <row r="512" spans="2:66" ht="11.25" customHeight="1">
      <c r="B512" s="2"/>
      <c r="C512" s="24"/>
      <c r="E512" s="23"/>
      <c r="H512" s="25" t="s">
        <v>4</v>
      </c>
      <c r="L512" s="1" t="s">
        <v>18</v>
      </c>
      <c r="N512" s="13">
        <f>I506*H501*N506*N509*(3*N509-2)/(2*N507)</f>
        <v>-0.16615384615384632</v>
      </c>
      <c r="O512" s="13"/>
      <c r="S512" s="25" t="s">
        <v>4</v>
      </c>
      <c r="BN512" s="3"/>
    </row>
    <row r="513" spans="2:66" ht="11.25" customHeight="1">
      <c r="B513" s="2"/>
      <c r="E513" s="23"/>
      <c r="H513" s="24"/>
      <c r="L513" s="1" t="s">
        <v>17</v>
      </c>
      <c r="N513" s="13">
        <f>3*I506*H501*N506*N509/N508</f>
        <v>2.8173913043478258</v>
      </c>
      <c r="O513" s="13"/>
      <c r="S513" s="24"/>
      <c r="BN513" s="3"/>
    </row>
    <row r="514" spans="2:66" ht="11.25" customHeight="1">
      <c r="B514" s="2"/>
      <c r="BN514" s="3"/>
    </row>
    <row r="515" spans="2:66" ht="11.25" customHeight="1">
      <c r="B515" s="2"/>
      <c r="D515" s="13">
        <f>I506*H501/(2*C508)+(N511-N512)/C508</f>
        <v>2.231208791208791</v>
      </c>
      <c r="E515" s="13"/>
      <c r="F515" s="1" t="s">
        <v>8</v>
      </c>
      <c r="V515" s="13">
        <f>+D515</f>
        <v>2.231208791208791</v>
      </c>
      <c r="W515" s="13"/>
      <c r="X515" s="1" t="s">
        <v>8</v>
      </c>
      <c r="BN515" s="3"/>
    </row>
    <row r="516" spans="2:66" ht="11.25" customHeight="1">
      <c r="B516" s="2"/>
      <c r="AC516" s="13">
        <f>(N511-(I506*H501/2-N513))</f>
        <v>-1.5395317725752511</v>
      </c>
      <c r="AD516" s="13"/>
      <c r="AE516" s="13"/>
      <c r="AI516" s="13">
        <f>(N511+(I506*H501/2-N513))</f>
        <v>4.8256856187290973</v>
      </c>
      <c r="AJ516" s="13"/>
      <c r="AK516" s="13"/>
      <c r="BN516" s="3"/>
    </row>
    <row r="517" spans="2:66" ht="11.25" customHeight="1">
      <c r="B517" s="2"/>
      <c r="D517" s="13">
        <f>-AC516</f>
        <v>1.5395317725752511</v>
      </c>
      <c r="E517" s="13"/>
      <c r="F517" s="1" t="s">
        <v>11</v>
      </c>
      <c r="U517" s="13">
        <f>AI516</f>
        <v>4.8256856187290973</v>
      </c>
      <c r="V517" s="13"/>
      <c r="W517" s="1" t="s">
        <v>11</v>
      </c>
      <c r="BN517" s="3"/>
    </row>
    <row r="518" spans="2:66" ht="11.25" customHeight="1">
      <c r="B518" s="2"/>
      <c r="BN518" s="3"/>
    </row>
    <row r="519" spans="2:66" ht="11.25" customHeight="1">
      <c r="B519" s="2"/>
      <c r="G519" s="13">
        <f>I506-S519</f>
        <v>13.747826086956522</v>
      </c>
      <c r="H519" s="13"/>
      <c r="I519" s="1" t="s">
        <v>8</v>
      </c>
      <c r="S519" s="13">
        <f>2*N513/M521</f>
        <v>1.2521739130434781</v>
      </c>
      <c r="T519" s="13"/>
      <c r="U519" s="1" t="s">
        <v>8</v>
      </c>
      <c r="BN519" s="3"/>
    </row>
    <row r="520" spans="2:66" ht="11.25" customHeight="1">
      <c r="B520" s="2"/>
      <c r="BN520" s="3"/>
    </row>
    <row r="521" spans="2:66" ht="11.25" customHeight="1">
      <c r="B521" s="2"/>
      <c r="L521" s="1" t="s">
        <v>2</v>
      </c>
      <c r="M521" s="26">
        <v>4.5</v>
      </c>
      <c r="N521" s="26"/>
      <c r="O521" s="1" t="s">
        <v>0</v>
      </c>
      <c r="BN521" s="3"/>
    </row>
    <row r="522" spans="2:66" ht="11.25" customHeight="1">
      <c r="B522" s="2"/>
      <c r="BN522" s="3"/>
    </row>
    <row r="523" spans="2:66" ht="11.25" customHeight="1" thickBot="1">
      <c r="B523" s="8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10"/>
    </row>
    <row r="524" spans="2:66" ht="11.25" customHeight="1" thickBot="1"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</row>
    <row r="525" spans="2:66" ht="45.75" customHeight="1">
      <c r="B525" s="29" t="s">
        <v>44</v>
      </c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1"/>
    </row>
    <row r="526" spans="2:66" ht="11.25" customHeight="1">
      <c r="B526" s="2"/>
      <c r="AI526" s="4" t="s">
        <v>38</v>
      </c>
      <c r="BN526" s="3"/>
    </row>
    <row r="527" spans="2:66" ht="11.25" customHeight="1">
      <c r="B527" s="2"/>
      <c r="AP527" s="13">
        <f>-N539*N543</f>
        <v>-20.336568363213125</v>
      </c>
      <c r="AQ527" s="13"/>
      <c r="AR527" s="13"/>
      <c r="BN527" s="3"/>
    </row>
    <row r="528" spans="2:66" ht="11.25" customHeight="1">
      <c r="B528" s="2"/>
      <c r="L528" s="26">
        <v>15</v>
      </c>
      <c r="M528" s="26"/>
      <c r="N528" s="1" t="s">
        <v>5</v>
      </c>
      <c r="AH528" s="13">
        <f>M552/2-N543*(N539-1)/(L528*M552)</f>
        <v>2.1707151330868886</v>
      </c>
      <c r="AI528" s="13"/>
      <c r="AJ528" s="1" t="s">
        <v>0</v>
      </c>
      <c r="BN528" s="3"/>
    </row>
    <row r="529" spans="2:66" ht="11.25" customHeight="1">
      <c r="B529" s="2"/>
      <c r="BN529" s="3"/>
    </row>
    <row r="530" spans="2:66" ht="11.25" customHeight="1">
      <c r="B530" s="2"/>
      <c r="AD530" s="13">
        <f>-N543</f>
        <v>-14.984839846578092</v>
      </c>
      <c r="AE530" s="13"/>
      <c r="AF530" s="13"/>
      <c r="BN530" s="3"/>
    </row>
    <row r="531" spans="2:66" ht="11.25" customHeight="1">
      <c r="B531" s="2"/>
      <c r="C531" s="6" t="s">
        <v>0</v>
      </c>
      <c r="AT531" s="13">
        <f>+AP527</f>
        <v>-20.336568363213125</v>
      </c>
      <c r="AU531" s="13"/>
      <c r="AV531" s="13"/>
      <c r="BN531" s="3"/>
    </row>
    <row r="532" spans="2:66" ht="11.25" customHeight="1">
      <c r="B532" s="2"/>
      <c r="C532" s="24">
        <f>+X537-C539</f>
        <v>1.25</v>
      </c>
      <c r="BN532" s="3"/>
    </row>
    <row r="533" spans="2:66" ht="11.25" customHeight="1">
      <c r="B533" s="2"/>
      <c r="C533" s="24"/>
      <c r="BN533" s="3"/>
    </row>
    <row r="534" spans="2:66" ht="11.25" customHeight="1">
      <c r="B534" s="2"/>
      <c r="C534" s="24"/>
      <c r="L534" s="5" t="s">
        <v>4</v>
      </c>
      <c r="M534" s="26">
        <v>351</v>
      </c>
      <c r="N534" s="26"/>
      <c r="O534" s="26"/>
      <c r="P534" s="1" t="s">
        <v>3</v>
      </c>
      <c r="AB534" s="13">
        <f>+AD530</f>
        <v>-14.984839846578092</v>
      </c>
      <c r="AC534" s="13"/>
      <c r="AD534" s="13"/>
      <c r="BN534" s="3"/>
    </row>
    <row r="535" spans="2:66" ht="11.25" customHeight="1">
      <c r="B535" s="2"/>
      <c r="BN535" s="3"/>
    </row>
    <row r="536" spans="2:66" ht="11.25" customHeight="1">
      <c r="B536" s="2"/>
      <c r="L536" s="1" t="s">
        <v>28</v>
      </c>
      <c r="N536" s="13">
        <f>SQRT(M552^2+C532^2)</f>
        <v>4.6703854230673514</v>
      </c>
      <c r="O536" s="13"/>
      <c r="X536" s="6" t="s">
        <v>0</v>
      </c>
      <c r="AL536" s="13">
        <f>L528*AH528*(M552-AH528)/2+(M552-AH528)*AD530/M552+AH528*AP527/M552</f>
        <v>20.355191571015119</v>
      </c>
      <c r="AM536" s="13"/>
      <c r="AN536" s="13"/>
      <c r="BN536" s="3"/>
    </row>
    <row r="537" spans="2:66" ht="11.25" customHeight="1">
      <c r="B537" s="2"/>
      <c r="H537" s="24" t="s">
        <v>3</v>
      </c>
      <c r="L537" s="1" t="s">
        <v>22</v>
      </c>
      <c r="N537" s="13">
        <f>M534/H539*C539/N536</f>
        <v>0.5781107457779644</v>
      </c>
      <c r="O537" s="13"/>
      <c r="S537" s="24" t="s">
        <v>3</v>
      </c>
      <c r="W537" s="12" t="str">
        <f>IF(C539&lt;S539,"","artır.")</f>
        <v/>
      </c>
      <c r="X537" s="23">
        <v>4.75</v>
      </c>
      <c r="BN537" s="3"/>
    </row>
    <row r="538" spans="2:66" ht="11.25" customHeight="1">
      <c r="B538" s="2"/>
      <c r="C538" s="6" t="s">
        <v>0</v>
      </c>
      <c r="H538" s="24"/>
      <c r="L538" s="1" t="s">
        <v>23</v>
      </c>
      <c r="N538" s="13">
        <f>M534/S539*X537/N536</f>
        <v>0.6490607009416236</v>
      </c>
      <c r="O538" s="13"/>
      <c r="S538" s="24"/>
      <c r="W538" s="12"/>
      <c r="X538" s="23"/>
      <c r="BN538" s="3"/>
    </row>
    <row r="539" spans="2:66" ht="11.25" customHeight="1">
      <c r="B539" s="2"/>
      <c r="C539" s="23">
        <v>3.5</v>
      </c>
      <c r="H539" s="23">
        <v>455</v>
      </c>
      <c r="L539" s="1" t="s">
        <v>24</v>
      </c>
      <c r="N539" s="13">
        <f>X537/C539</f>
        <v>1.3571428571428572</v>
      </c>
      <c r="O539" s="13"/>
      <c r="S539" s="23">
        <v>550</v>
      </c>
      <c r="W539" s="12"/>
      <c r="X539" s="23"/>
      <c r="BN539" s="3"/>
    </row>
    <row r="540" spans="2:66" ht="11.25" customHeight="1">
      <c r="B540" s="2"/>
      <c r="C540" s="23"/>
      <c r="H540" s="23"/>
      <c r="L540" s="1" t="s">
        <v>25</v>
      </c>
      <c r="N540" s="13">
        <f>2*(1+N537)+N539</f>
        <v>4.5133643486987864</v>
      </c>
      <c r="O540" s="13"/>
      <c r="S540" s="23"/>
      <c r="X540" s="24" t="s">
        <v>21</v>
      </c>
      <c r="BN540" s="3"/>
    </row>
    <row r="541" spans="2:66" ht="11.25" customHeight="1">
      <c r="B541" s="2"/>
      <c r="C541" s="23"/>
      <c r="H541" s="23"/>
      <c r="L541" s="1" t="s">
        <v>26</v>
      </c>
      <c r="N541" s="13">
        <f>1+2*N539*(1+N538)</f>
        <v>5.4760219025558357</v>
      </c>
      <c r="O541" s="13"/>
      <c r="S541" s="23"/>
      <c r="X541" s="24"/>
      <c r="AI541" s="1" t="s">
        <v>39</v>
      </c>
      <c r="BN541" s="3"/>
    </row>
    <row r="542" spans="2:66" ht="11.25" customHeight="1">
      <c r="B542" s="2"/>
      <c r="C542" s="24" t="s">
        <v>20</v>
      </c>
      <c r="H542" s="23"/>
      <c r="L542" s="1" t="s">
        <v>27</v>
      </c>
      <c r="N542" s="13">
        <f>N540+N539*N541</f>
        <v>11.945108359310279</v>
      </c>
      <c r="O542" s="13"/>
      <c r="S542" s="23"/>
      <c r="BN542" s="3"/>
    </row>
    <row r="543" spans="2:66" ht="11.25" customHeight="1">
      <c r="B543" s="2"/>
      <c r="C543" s="24"/>
      <c r="H543" s="25" t="s">
        <v>4</v>
      </c>
      <c r="L543" s="1" t="s">
        <v>29</v>
      </c>
      <c r="N543" s="13">
        <f>L528*M552^2/4*(1+N539)/N542</f>
        <v>14.984839846578092</v>
      </c>
      <c r="O543" s="13"/>
      <c r="S543" s="25" t="s">
        <v>4</v>
      </c>
      <c r="BN543" s="3"/>
    </row>
    <row r="544" spans="2:66" ht="11.25" customHeight="1">
      <c r="B544" s="2"/>
      <c r="H544" s="24"/>
      <c r="S544" s="24"/>
      <c r="BN544" s="3"/>
    </row>
    <row r="545" spans="2:66" ht="11.25" customHeight="1">
      <c r="B545" s="2"/>
      <c r="BN545" s="3"/>
    </row>
    <row r="546" spans="2:66" ht="11.25" customHeight="1">
      <c r="B546" s="2"/>
      <c r="D546" s="13">
        <f>+N543/C539</f>
        <v>4.2813828133080261</v>
      </c>
      <c r="E546" s="13"/>
      <c r="F546" s="1" t="s">
        <v>8</v>
      </c>
      <c r="V546" s="13">
        <f>+D546</f>
        <v>4.2813828133080261</v>
      </c>
      <c r="W546" s="13"/>
      <c r="X546" s="1" t="s">
        <v>8</v>
      </c>
      <c r="BN546" s="3"/>
    </row>
    <row r="547" spans="2:66" ht="11.25" customHeight="1">
      <c r="B547" s="2"/>
      <c r="BN547" s="3"/>
    </row>
    <row r="548" spans="2:66" ht="11.25" customHeight="1">
      <c r="B548" s="2"/>
      <c r="BN548" s="3"/>
    </row>
    <row r="549" spans="2:66" ht="11.25" customHeight="1">
      <c r="B549" s="2"/>
      <c r="BN549" s="3"/>
    </row>
    <row r="550" spans="2:66" ht="11.25" customHeight="1">
      <c r="B550" s="2"/>
      <c r="G550" s="13">
        <f>L528*M552/2-(N539-1)*N543/M552</f>
        <v>32.560726996303323</v>
      </c>
      <c r="H550" s="13"/>
      <c r="I550" s="1" t="s">
        <v>8</v>
      </c>
      <c r="S550" s="13">
        <f>L528*M552/2+(N539-1)*N543/M552</f>
        <v>34.939273003696677</v>
      </c>
      <c r="T550" s="13"/>
      <c r="U550" s="1" t="s">
        <v>8</v>
      </c>
      <c r="BN550" s="3"/>
    </row>
    <row r="551" spans="2:66" ht="11.25" customHeight="1">
      <c r="B551" s="2"/>
      <c r="BN551" s="3"/>
    </row>
    <row r="552" spans="2:66" ht="11.25" customHeight="1">
      <c r="B552" s="2"/>
      <c r="L552" s="1" t="s">
        <v>2</v>
      </c>
      <c r="M552" s="26">
        <v>4.5</v>
      </c>
      <c r="N552" s="26"/>
      <c r="O552" s="1" t="s">
        <v>0</v>
      </c>
      <c r="BN552" s="3"/>
    </row>
    <row r="553" spans="2:66" ht="11.25" customHeight="1">
      <c r="B553" s="2"/>
      <c r="BN553" s="3"/>
    </row>
    <row r="554" spans="2:66" ht="11.25" customHeight="1">
      <c r="B554" s="2"/>
      <c r="AP554" s="13">
        <f>-N566*N571</f>
        <v>-35.220738121139696</v>
      </c>
      <c r="AQ554" s="13"/>
      <c r="AR554" s="13"/>
      <c r="BN554" s="3"/>
    </row>
    <row r="555" spans="2:66" ht="11.25" customHeight="1">
      <c r="B555" s="2"/>
      <c r="BN555" s="3"/>
    </row>
    <row r="556" spans="2:66" ht="11.25" customHeight="1">
      <c r="B556" s="2"/>
      <c r="E556" s="24" t="s">
        <v>5</v>
      </c>
      <c r="BN556" s="3"/>
    </row>
    <row r="557" spans="2:66" ht="11.25" customHeight="1">
      <c r="B557" s="2"/>
      <c r="E557" s="24"/>
      <c r="BN557" s="3"/>
    </row>
    <row r="558" spans="2:66" ht="11.25" customHeight="1">
      <c r="B558" s="2"/>
      <c r="C558" s="6" t="s">
        <v>0</v>
      </c>
      <c r="E558" s="24"/>
      <c r="AT558" s="13">
        <f>+AP554</f>
        <v>-35.220738121139696</v>
      </c>
      <c r="AU558" s="13"/>
      <c r="AV558" s="13"/>
      <c r="BN558" s="3"/>
    </row>
    <row r="559" spans="2:66" ht="11.25" customHeight="1">
      <c r="B559" s="2"/>
      <c r="C559" s="24">
        <f>+X564-C566</f>
        <v>1.25</v>
      </c>
      <c r="E559" s="23">
        <v>15</v>
      </c>
      <c r="BN559" s="3"/>
    </row>
    <row r="560" spans="2:66" ht="11.25" customHeight="1">
      <c r="B560" s="2"/>
      <c r="C560" s="24"/>
      <c r="E560" s="23"/>
      <c r="BN560" s="3"/>
    </row>
    <row r="561" spans="2:66" ht="11.25" customHeight="1">
      <c r="B561" s="2"/>
      <c r="C561" s="24"/>
      <c r="E561" s="23"/>
      <c r="L561" s="5" t="s">
        <v>4</v>
      </c>
      <c r="M561" s="26">
        <v>351</v>
      </c>
      <c r="N561" s="26"/>
      <c r="O561" s="26"/>
      <c r="P561" s="1" t="s">
        <v>3</v>
      </c>
      <c r="BN561" s="3"/>
    </row>
    <row r="562" spans="2:66" ht="11.25" customHeight="1">
      <c r="B562" s="2"/>
      <c r="AG562" s="13">
        <f>+AG566</f>
        <v>39.672877173897064</v>
      </c>
      <c r="AH562" s="13"/>
      <c r="AI562" s="13"/>
      <c r="BN562" s="3"/>
    </row>
    <row r="563" spans="2:66" ht="11.25" customHeight="1">
      <c r="B563" s="2"/>
      <c r="L563" s="1" t="s">
        <v>28</v>
      </c>
      <c r="N563" s="13">
        <f>SQRT(M579^2+C559^2)</f>
        <v>4.6703854230673514</v>
      </c>
      <c r="O563" s="13"/>
      <c r="X563" s="6" t="s">
        <v>0</v>
      </c>
      <c r="BN563" s="3"/>
    </row>
    <row r="564" spans="2:66" ht="11.25" customHeight="1">
      <c r="B564" s="2"/>
      <c r="H564" s="24" t="s">
        <v>3</v>
      </c>
      <c r="L564" s="1" t="s">
        <v>22</v>
      </c>
      <c r="N564" s="13">
        <f>M561/H566*C566/N563</f>
        <v>0.5781107457779644</v>
      </c>
      <c r="O564" s="13"/>
      <c r="S564" s="24" t="s">
        <v>3</v>
      </c>
      <c r="W564" s="12" t="str">
        <f>IF(C566&lt;S566,"","artır.")</f>
        <v/>
      </c>
      <c r="X564" s="23">
        <v>4.75</v>
      </c>
      <c r="BN564" s="3"/>
    </row>
    <row r="565" spans="2:66" ht="11.25" customHeight="1">
      <c r="B565" s="2"/>
      <c r="C565" s="6" t="s">
        <v>0</v>
      </c>
      <c r="H565" s="24"/>
      <c r="L565" s="1" t="s">
        <v>23</v>
      </c>
      <c r="N565" s="13">
        <f>M561/S566*X564/N563</f>
        <v>0.6490607009416236</v>
      </c>
      <c r="O565" s="13"/>
      <c r="S565" s="24"/>
      <c r="W565" s="12"/>
      <c r="X565" s="23"/>
      <c r="BN565" s="3"/>
    </row>
    <row r="566" spans="2:66" ht="11.25" customHeight="1">
      <c r="B566" s="2"/>
      <c r="C566" s="23">
        <v>3.5</v>
      </c>
      <c r="H566" s="23">
        <v>455</v>
      </c>
      <c r="L566" s="1" t="s">
        <v>24</v>
      </c>
      <c r="N566" s="13">
        <f>X564/C566</f>
        <v>1.3571428571428572</v>
      </c>
      <c r="O566" s="13"/>
      <c r="S566" s="23">
        <v>550</v>
      </c>
      <c r="W566" s="12"/>
      <c r="X566" s="23"/>
      <c r="AG566" s="13">
        <f>E559*C559*C566-N571</f>
        <v>39.672877173897064</v>
      </c>
      <c r="AH566" s="13"/>
      <c r="AI566" s="13"/>
      <c r="BN566" s="3"/>
    </row>
    <row r="567" spans="2:66" ht="11.25" customHeight="1">
      <c r="B567" s="2"/>
      <c r="C567" s="23"/>
      <c r="H567" s="23"/>
      <c r="L567" s="1" t="s">
        <v>25</v>
      </c>
      <c r="N567" s="13">
        <f>2*(1+N564)+N566</f>
        <v>4.5133643486987864</v>
      </c>
      <c r="O567" s="13"/>
      <c r="S567" s="23"/>
      <c r="X567" s="24" t="s">
        <v>21</v>
      </c>
      <c r="BN567" s="3"/>
    </row>
    <row r="568" spans="2:66" ht="11.25" customHeight="1">
      <c r="B568" s="2"/>
      <c r="C568" s="23"/>
      <c r="H568" s="23"/>
      <c r="L568" s="1" t="s">
        <v>26</v>
      </c>
      <c r="N568" s="13">
        <f>1+2*N566*(1+N565)</f>
        <v>5.4760219025558357</v>
      </c>
      <c r="O568" s="13"/>
      <c r="S568" s="23"/>
      <c r="X568" s="24"/>
      <c r="BN568" s="3"/>
    </row>
    <row r="569" spans="2:66" ht="11.25" customHeight="1">
      <c r="B569" s="2"/>
      <c r="C569" s="24" t="s">
        <v>20</v>
      </c>
      <c r="H569" s="23"/>
      <c r="L569" s="1" t="s">
        <v>27</v>
      </c>
      <c r="N569" s="13">
        <f>N567+N566*N568</f>
        <v>11.945108359310279</v>
      </c>
      <c r="O569" s="13"/>
      <c r="S569" s="23"/>
      <c r="AI569" s="1" t="s">
        <v>39</v>
      </c>
      <c r="BN569" s="3"/>
    </row>
    <row r="570" spans="2:66" ht="11.25" customHeight="1">
      <c r="B570" s="2"/>
      <c r="C570" s="24"/>
      <c r="H570" s="25" t="s">
        <v>4</v>
      </c>
      <c r="L570" s="7" t="s">
        <v>30</v>
      </c>
      <c r="N570" s="13">
        <f>C566/C559</f>
        <v>2.8</v>
      </c>
      <c r="O570" s="13"/>
      <c r="S570" s="25" t="s">
        <v>4</v>
      </c>
      <c r="BN570" s="3"/>
    </row>
    <row r="571" spans="2:66" ht="11.25" customHeight="1">
      <c r="B571" s="2"/>
      <c r="H571" s="24"/>
      <c r="L571" s="1" t="s">
        <v>29</v>
      </c>
      <c r="N571" s="13">
        <f>E559*C559^2/4*(4*N567*N570+1+N566)/N569</f>
        <v>25.952122826102933</v>
      </c>
      <c r="O571" s="13"/>
      <c r="S571" s="24"/>
      <c r="BN571" s="3"/>
    </row>
    <row r="572" spans="2:66" ht="11.25" customHeight="1">
      <c r="B572" s="2"/>
      <c r="BN572" s="3"/>
    </row>
    <row r="573" spans="2:66" ht="11.25" customHeight="1">
      <c r="B573" s="2"/>
      <c r="J573" s="13">
        <f>(E559*C559-V573)</f>
        <v>11.335107763970591</v>
      </c>
      <c r="K573" s="13"/>
      <c r="L573" s="1" t="s">
        <v>8</v>
      </c>
      <c r="V573" s="13">
        <f>N571/C566</f>
        <v>7.4148922360294094</v>
      </c>
      <c r="W573" s="13"/>
      <c r="X573" s="1" t="s">
        <v>8</v>
      </c>
      <c r="BN573" s="3"/>
    </row>
    <row r="574" spans="2:66" ht="11.25" customHeight="1">
      <c r="B574" s="2"/>
      <c r="BN574" s="3"/>
    </row>
    <row r="575" spans="2:66" ht="11.25" customHeight="1">
      <c r="B575" s="2"/>
      <c r="BN575" s="3"/>
    </row>
    <row r="576" spans="2:66" ht="11.25" customHeight="1">
      <c r="B576" s="2"/>
      <c r="BN576" s="3"/>
    </row>
    <row r="577" spans="2:66" ht="11.25" customHeight="1">
      <c r="B577" s="2"/>
      <c r="G577" s="13">
        <f>E559*C559^2*(2*N570+1)/(2*M579)</f>
        <v>17.1875</v>
      </c>
      <c r="H577" s="13"/>
      <c r="I577" s="1" t="s">
        <v>8</v>
      </c>
      <c r="S577" s="13">
        <f>+G577</f>
        <v>17.1875</v>
      </c>
      <c r="T577" s="13"/>
      <c r="U577" s="1" t="s">
        <v>8</v>
      </c>
      <c r="BN577" s="3"/>
    </row>
    <row r="578" spans="2:66" ht="11.25" customHeight="1">
      <c r="B578" s="2"/>
      <c r="BN578" s="3"/>
    </row>
    <row r="579" spans="2:66" ht="11.25" customHeight="1">
      <c r="B579" s="2"/>
      <c r="L579" s="1" t="s">
        <v>2</v>
      </c>
      <c r="M579" s="26">
        <v>4.5</v>
      </c>
      <c r="N579" s="26"/>
      <c r="O579" s="1" t="s">
        <v>0</v>
      </c>
      <c r="BN579" s="3"/>
    </row>
    <row r="580" spans="2:66" ht="11.25" customHeight="1">
      <c r="B580" s="2"/>
      <c r="BN580" s="3"/>
    </row>
    <row r="581" spans="2:66" ht="11.25" customHeight="1">
      <c r="B581" s="2"/>
      <c r="AP581" s="13">
        <f>-N593*N597</f>
        <v>-50.129449731509197</v>
      </c>
      <c r="AQ581" s="13"/>
      <c r="AR581" s="13"/>
      <c r="BN581" s="3"/>
    </row>
    <row r="582" spans="2:66" ht="11.25" customHeight="1">
      <c r="B582" s="2"/>
      <c r="BN582" s="3"/>
    </row>
    <row r="583" spans="2:66" ht="11.25" customHeight="1">
      <c r="B583" s="2"/>
      <c r="BN583" s="3"/>
    </row>
    <row r="584" spans="2:66" ht="11.25" customHeight="1">
      <c r="B584" s="2"/>
      <c r="BN584" s="3"/>
    </row>
    <row r="585" spans="2:66" ht="11.25" customHeight="1">
      <c r="B585" s="2"/>
      <c r="C585" s="6" t="s">
        <v>0</v>
      </c>
      <c r="AT585" s="13">
        <f>+AP581</f>
        <v>-50.129449731509197</v>
      </c>
      <c r="AU585" s="13"/>
      <c r="AV585" s="13"/>
      <c r="BN585" s="3"/>
    </row>
    <row r="586" spans="2:66" ht="11.25" customHeight="1">
      <c r="B586" s="2"/>
      <c r="C586" s="24">
        <f>+X591-C593</f>
        <v>1.25</v>
      </c>
      <c r="BN586" s="3"/>
    </row>
    <row r="587" spans="2:66" ht="11.25" customHeight="1">
      <c r="B587" s="2"/>
      <c r="C587" s="24"/>
      <c r="BN587" s="3"/>
    </row>
    <row r="588" spans="2:66" ht="11.25" customHeight="1">
      <c r="B588" s="2"/>
      <c r="C588" s="24"/>
      <c r="L588" s="5" t="s">
        <v>4</v>
      </c>
      <c r="M588" s="26">
        <v>351</v>
      </c>
      <c r="N588" s="26"/>
      <c r="O588" s="26"/>
      <c r="P588" s="1" t="s">
        <v>3</v>
      </c>
      <c r="BN588" s="3"/>
    </row>
    <row r="589" spans="2:66" ht="11.25" customHeight="1">
      <c r="B589" s="2"/>
      <c r="AC589" s="6" t="s">
        <v>0</v>
      </c>
      <c r="AG589" s="13">
        <f>+AF593</f>
        <v>54.937510724151117</v>
      </c>
      <c r="AH589" s="13"/>
      <c r="AI589" s="13"/>
      <c r="BN589" s="3"/>
    </row>
    <row r="590" spans="2:66" ht="11.25" customHeight="1">
      <c r="B590" s="2"/>
      <c r="L590" s="1" t="s">
        <v>28</v>
      </c>
      <c r="N590" s="13">
        <f>SQRT(M606^2+C586^2)</f>
        <v>4.6703854230673514</v>
      </c>
      <c r="O590" s="13"/>
      <c r="X590" s="6" t="s">
        <v>0</v>
      </c>
      <c r="AC590" s="24">
        <f>+C593-AC596</f>
        <v>0.89999999999999991</v>
      </c>
      <c r="BN590" s="3"/>
    </row>
    <row r="591" spans="2:66" ht="11.25" customHeight="1">
      <c r="B591" s="2"/>
      <c r="E591" s="24" t="s">
        <v>5</v>
      </c>
      <c r="H591" s="24" t="s">
        <v>3</v>
      </c>
      <c r="L591" s="1" t="s">
        <v>22</v>
      </c>
      <c r="N591" s="13">
        <f>M588/H593*C593/N590</f>
        <v>0.5781107457779644</v>
      </c>
      <c r="O591" s="13"/>
      <c r="S591" s="24" t="s">
        <v>3</v>
      </c>
      <c r="W591" s="12" t="str">
        <f>IF(C593&lt;S593,"","artır.")</f>
        <v/>
      </c>
      <c r="X591" s="23">
        <v>4.75</v>
      </c>
      <c r="AC591" s="24"/>
      <c r="BN591" s="3"/>
    </row>
    <row r="592" spans="2:66" ht="11.25" customHeight="1">
      <c r="B592" s="2"/>
      <c r="C592" s="6" t="s">
        <v>0</v>
      </c>
      <c r="E592" s="24"/>
      <c r="H592" s="24"/>
      <c r="L592" s="1" t="s">
        <v>23</v>
      </c>
      <c r="N592" s="13">
        <f>M588/S593*X591/N590</f>
        <v>0.6490607009416236</v>
      </c>
      <c r="O592" s="13"/>
      <c r="S592" s="24"/>
      <c r="W592" s="12"/>
      <c r="X592" s="23"/>
      <c r="AC592" s="24"/>
      <c r="AJ592" s="13">
        <f>E594*AC596*AC590/2+AC596*AG589/C593</f>
        <v>58.360722252226537</v>
      </c>
      <c r="AK592" s="13"/>
      <c r="AL592" s="13"/>
      <c r="BN592" s="3"/>
    </row>
    <row r="593" spans="2:66" ht="11.25" customHeight="1">
      <c r="B593" s="2"/>
      <c r="C593" s="23">
        <v>3.5</v>
      </c>
      <c r="E593" s="24"/>
      <c r="H593" s="23">
        <v>455</v>
      </c>
      <c r="L593" s="1" t="s">
        <v>24</v>
      </c>
      <c r="N593" s="13">
        <f>X591/C593</f>
        <v>1.3571428571428572</v>
      </c>
      <c r="O593" s="13"/>
      <c r="S593" s="23">
        <v>550</v>
      </c>
      <c r="W593" s="12"/>
      <c r="X593" s="23"/>
      <c r="AF593" s="13">
        <f>E594*C593^2/2-N597</f>
        <v>54.937510724151117</v>
      </c>
      <c r="AG593" s="13"/>
      <c r="AH593" s="13"/>
      <c r="BN593" s="3"/>
    </row>
    <row r="594" spans="2:66" ht="11.25" customHeight="1">
      <c r="B594" s="2"/>
      <c r="C594" s="23"/>
      <c r="E594" s="23">
        <v>15</v>
      </c>
      <c r="H594" s="23"/>
      <c r="L594" s="1" t="s">
        <v>25</v>
      </c>
      <c r="N594" s="13">
        <f>2*(1+N591)+N593</f>
        <v>4.5133643486987864</v>
      </c>
      <c r="O594" s="13"/>
      <c r="S594" s="23"/>
      <c r="X594" s="24" t="s">
        <v>21</v>
      </c>
      <c r="BN594" s="3"/>
    </row>
    <row r="595" spans="2:66" ht="11.25" customHeight="1">
      <c r="B595" s="2"/>
      <c r="C595" s="23"/>
      <c r="E595" s="23"/>
      <c r="H595" s="23"/>
      <c r="L595" s="1" t="s">
        <v>26</v>
      </c>
      <c r="N595" s="13">
        <f>1+2*N593*(1+N592)</f>
        <v>5.4760219025558357</v>
      </c>
      <c r="O595" s="13"/>
      <c r="S595" s="23"/>
      <c r="X595" s="24"/>
      <c r="AC595" s="6" t="s">
        <v>0</v>
      </c>
      <c r="BN595" s="3"/>
    </row>
    <row r="596" spans="2:66" ht="11.25" customHeight="1">
      <c r="B596" s="2"/>
      <c r="C596" s="24" t="s">
        <v>20</v>
      </c>
      <c r="E596" s="23"/>
      <c r="H596" s="23"/>
      <c r="L596" s="1" t="s">
        <v>27</v>
      </c>
      <c r="N596" s="13">
        <f>N594+N593*N595</f>
        <v>11.945108359310279</v>
      </c>
      <c r="O596" s="13"/>
      <c r="S596" s="23"/>
      <c r="AC596" s="23">
        <v>2.6</v>
      </c>
      <c r="BN596" s="3"/>
    </row>
    <row r="597" spans="2:66" ht="11.25" customHeight="1">
      <c r="B597" s="2"/>
      <c r="C597" s="24"/>
      <c r="H597" s="25" t="s">
        <v>4</v>
      </c>
      <c r="L597" s="1" t="s">
        <v>29</v>
      </c>
      <c r="N597" s="13">
        <f>E594*C593^2/4*(2*N594+N591)/N596</f>
        <v>36.937489275848883</v>
      </c>
      <c r="O597" s="13"/>
      <c r="S597" s="25" t="s">
        <v>4</v>
      </c>
      <c r="AC597" s="23"/>
      <c r="AI597" s="1" t="s">
        <v>39</v>
      </c>
      <c r="BN597" s="3"/>
    </row>
    <row r="598" spans="2:66" ht="11.25" customHeight="1">
      <c r="B598" s="2"/>
      <c r="H598" s="24"/>
      <c r="S598" s="24"/>
      <c r="AC598" s="23"/>
      <c r="BN598" s="3"/>
    </row>
    <row r="599" spans="2:66" ht="11.25" customHeight="1">
      <c r="B599" s="2"/>
      <c r="BN599" s="3"/>
    </row>
    <row r="600" spans="2:66" ht="11.25" customHeight="1">
      <c r="B600" s="2"/>
      <c r="J600" s="13">
        <f>(E594*C593-V600)</f>
        <v>41.946431635471747</v>
      </c>
      <c r="K600" s="13"/>
      <c r="L600" s="1" t="s">
        <v>8</v>
      </c>
      <c r="V600" s="13">
        <f>N597/C593</f>
        <v>10.553568364528251</v>
      </c>
      <c r="W600" s="13"/>
      <c r="X600" s="1" t="s">
        <v>8</v>
      </c>
      <c r="BN600" s="3"/>
    </row>
    <row r="601" spans="2:66" ht="11.25" customHeight="1">
      <c r="B601" s="2"/>
      <c r="BN601" s="3"/>
    </row>
    <row r="602" spans="2:66" ht="11.25" customHeight="1">
      <c r="B602" s="2"/>
      <c r="BN602" s="3"/>
    </row>
    <row r="603" spans="2:66" ht="11.25" customHeight="1">
      <c r="B603" s="2"/>
      <c r="BN603" s="3"/>
    </row>
    <row r="604" spans="2:66" ht="11.25" customHeight="1">
      <c r="B604" s="2"/>
      <c r="G604" s="13">
        <f>E594*C593^2/(2*M606)</f>
        <v>20.416666666666668</v>
      </c>
      <c r="H604" s="13"/>
      <c r="I604" s="1" t="s">
        <v>8</v>
      </c>
      <c r="S604" s="13">
        <f>+G604</f>
        <v>20.416666666666668</v>
      </c>
      <c r="T604" s="13"/>
      <c r="U604" s="1" t="s">
        <v>8</v>
      </c>
      <c r="BN604" s="3"/>
    </row>
    <row r="605" spans="2:66" ht="11.25" customHeight="1">
      <c r="B605" s="2"/>
      <c r="BN605" s="3"/>
    </row>
    <row r="606" spans="2:66" ht="11.25" customHeight="1">
      <c r="B606" s="2"/>
      <c r="L606" s="1" t="s">
        <v>2</v>
      </c>
      <c r="M606" s="26">
        <v>4.5</v>
      </c>
      <c r="N606" s="26"/>
      <c r="O606" s="1" t="s">
        <v>0</v>
      </c>
      <c r="BN606" s="3"/>
    </row>
    <row r="607" spans="2:66" ht="11.25" customHeight="1">
      <c r="B607" s="2"/>
      <c r="BN607" s="3"/>
    </row>
    <row r="608" spans="2:66" ht="11.25" customHeight="1">
      <c r="B608" s="2"/>
      <c r="AD608" s="13">
        <f>+AB612</f>
        <v>-83.814667067878958</v>
      </c>
      <c r="AE608" s="13"/>
      <c r="AF608" s="13"/>
      <c r="BN608" s="3"/>
    </row>
    <row r="609" spans="2:66" ht="11.25" customHeight="1">
      <c r="B609" s="2"/>
      <c r="C609" s="6" t="s">
        <v>0</v>
      </c>
      <c r="AN609" s="13">
        <f>V617*X615^2/2-N617*N621</f>
        <v>55.470273265021405</v>
      </c>
      <c r="AO609" s="13"/>
      <c r="AP609" s="13"/>
      <c r="BN609" s="3"/>
    </row>
    <row r="610" spans="2:66" ht="11.25" customHeight="1">
      <c r="B610" s="2"/>
      <c r="C610" s="24">
        <f>+X615-C617</f>
        <v>1.25</v>
      </c>
      <c r="AU610" s="6" t="s">
        <v>0</v>
      </c>
      <c r="BN610" s="3"/>
    </row>
    <row r="611" spans="2:66" ht="11.25" customHeight="1">
      <c r="B611" s="2"/>
      <c r="C611" s="24"/>
      <c r="AU611" s="24">
        <f>+X615-AU619</f>
        <v>1.4500000000000002</v>
      </c>
      <c r="BN611" s="3"/>
    </row>
    <row r="612" spans="2:66" ht="11.25" customHeight="1">
      <c r="B612" s="2"/>
      <c r="C612" s="24"/>
      <c r="L612" s="5" t="s">
        <v>4</v>
      </c>
      <c r="M612" s="26">
        <v>351</v>
      </c>
      <c r="N612" s="26"/>
      <c r="O612" s="26"/>
      <c r="P612" s="1" t="s">
        <v>3</v>
      </c>
      <c r="AB612" s="13">
        <f>-N621</f>
        <v>-83.814667067878958</v>
      </c>
      <c r="AC612" s="13"/>
      <c r="AD612" s="13"/>
      <c r="AU612" s="24"/>
      <c r="BN612" s="3"/>
    </row>
    <row r="613" spans="2:66" ht="11.25" customHeight="1">
      <c r="B613" s="2"/>
      <c r="AR613" s="13">
        <f>+AN609</f>
        <v>55.470273265021405</v>
      </c>
      <c r="AS613" s="13"/>
      <c r="AT613" s="13"/>
      <c r="AU613" s="24"/>
      <c r="BN613" s="3"/>
    </row>
    <row r="614" spans="2:66" ht="11.25" customHeight="1">
      <c r="B614" s="2"/>
      <c r="L614" s="1" t="s">
        <v>28</v>
      </c>
      <c r="N614" s="13">
        <f>SQRT(M630^2+C610^2)</f>
        <v>4.6703854230673514</v>
      </c>
      <c r="O614" s="13"/>
      <c r="V614" s="24" t="s">
        <v>5</v>
      </c>
      <c r="X614" s="6" t="s">
        <v>0</v>
      </c>
      <c r="AL614" s="13">
        <f>V617*AU619*AU611/2+AU619*AR613/X615</f>
        <v>74.424742478856984</v>
      </c>
      <c r="AM614" s="13"/>
      <c r="AN614" s="13"/>
      <c r="BN614" s="3"/>
    </row>
    <row r="615" spans="2:66" ht="11.25" customHeight="1">
      <c r="B615" s="2"/>
      <c r="H615" s="24" t="s">
        <v>3</v>
      </c>
      <c r="L615" s="1" t="s">
        <v>22</v>
      </c>
      <c r="N615" s="13">
        <f>M612/H617*C617/N614</f>
        <v>0.5781107457779644</v>
      </c>
      <c r="O615" s="13"/>
      <c r="S615" s="24" t="s">
        <v>3</v>
      </c>
      <c r="V615" s="24"/>
      <c r="W615" s="12" t="str">
        <f>IF(C617&lt;S617,"","artır.")</f>
        <v/>
      </c>
      <c r="X615" s="23">
        <v>4.75</v>
      </c>
      <c r="BN615" s="3"/>
    </row>
    <row r="616" spans="2:66" ht="11.25" customHeight="1">
      <c r="B616" s="2"/>
      <c r="C616" s="6" t="s">
        <v>0</v>
      </c>
      <c r="H616" s="24"/>
      <c r="L616" s="1" t="s">
        <v>23</v>
      </c>
      <c r="N616" s="13">
        <f>M612/S617*X615/N614</f>
        <v>0.6490607009416236</v>
      </c>
      <c r="O616" s="13"/>
      <c r="S616" s="24"/>
      <c r="V616" s="24"/>
      <c r="W616" s="12"/>
      <c r="X616" s="23"/>
      <c r="BN616" s="3"/>
    </row>
    <row r="617" spans="2:66" ht="11.25" customHeight="1">
      <c r="B617" s="2"/>
      <c r="C617" s="23">
        <v>3.5</v>
      </c>
      <c r="H617" s="23">
        <v>455</v>
      </c>
      <c r="L617" s="1" t="s">
        <v>24</v>
      </c>
      <c r="N617" s="13">
        <f>X615/C617</f>
        <v>1.3571428571428572</v>
      </c>
      <c r="O617" s="13"/>
      <c r="S617" s="23">
        <v>550</v>
      </c>
      <c r="V617" s="23">
        <v>15</v>
      </c>
      <c r="W617" s="12"/>
      <c r="X617" s="23"/>
      <c r="BN617" s="3"/>
    </row>
    <row r="618" spans="2:66" ht="11.25" customHeight="1">
      <c r="B618" s="2"/>
      <c r="C618" s="23"/>
      <c r="H618" s="23"/>
      <c r="L618" s="1" t="s">
        <v>25</v>
      </c>
      <c r="N618" s="13">
        <f>2*(1+N615)+N617</f>
        <v>4.5133643486987864</v>
      </c>
      <c r="O618" s="13"/>
      <c r="S618" s="23"/>
      <c r="V618" s="23"/>
      <c r="X618" s="24" t="s">
        <v>21</v>
      </c>
      <c r="AU618" s="6" t="s">
        <v>0</v>
      </c>
      <c r="BN618" s="3"/>
    </row>
    <row r="619" spans="2:66" ht="11.25" customHeight="1">
      <c r="B619" s="2"/>
      <c r="C619" s="23"/>
      <c r="H619" s="23"/>
      <c r="L619" s="1" t="s">
        <v>26</v>
      </c>
      <c r="N619" s="13">
        <f>1+2*N617*(1+N616)</f>
        <v>5.4760219025558357</v>
      </c>
      <c r="O619" s="13"/>
      <c r="S619" s="23"/>
      <c r="V619" s="23"/>
      <c r="X619" s="24"/>
      <c r="AT619" s="12" t="str">
        <f>IF(X615&gt;AU619,"","azalt.")</f>
        <v/>
      </c>
      <c r="AU619" s="23">
        <v>3.3</v>
      </c>
      <c r="BN619" s="3"/>
    </row>
    <row r="620" spans="2:66" ht="11.25" customHeight="1">
      <c r="B620" s="2"/>
      <c r="C620" s="24" t="s">
        <v>20</v>
      </c>
      <c r="H620" s="23"/>
      <c r="L620" s="1" t="s">
        <v>27</v>
      </c>
      <c r="N620" s="13">
        <f>N618+N617*N619</f>
        <v>11.945108359310279</v>
      </c>
      <c r="O620" s="13"/>
      <c r="S620" s="23"/>
      <c r="AG620" s="1" t="s">
        <v>39</v>
      </c>
      <c r="AT620" s="12"/>
      <c r="AU620" s="23"/>
      <c r="BN620" s="3"/>
    </row>
    <row r="621" spans="2:66" ht="11.25" customHeight="1">
      <c r="B621" s="2"/>
      <c r="C621" s="24"/>
      <c r="H621" s="25" t="s">
        <v>4</v>
      </c>
      <c r="L621" s="1" t="s">
        <v>29</v>
      </c>
      <c r="N621" s="13">
        <f>V617*X615^2/4*(2*N619+N617*N616)/N620</f>
        <v>83.814667067878958</v>
      </c>
      <c r="O621" s="13"/>
      <c r="S621" s="25" t="s">
        <v>4</v>
      </c>
      <c r="AT621" s="12"/>
      <c r="AU621" s="23"/>
      <c r="BN621" s="3"/>
    </row>
    <row r="622" spans="2:66" ht="11.25" customHeight="1">
      <c r="B622" s="2"/>
      <c r="H622" s="24"/>
      <c r="S622" s="24"/>
      <c r="BN622" s="3"/>
    </row>
    <row r="623" spans="2:66" ht="11.25" customHeight="1">
      <c r="B623" s="2"/>
      <c r="BN623" s="3"/>
    </row>
    <row r="624" spans="2:66" ht="11.25" customHeight="1">
      <c r="B624" s="2"/>
      <c r="J624" s="13">
        <f>+N621/C617</f>
        <v>23.947047733679703</v>
      </c>
      <c r="K624" s="13"/>
      <c r="L624" s="1" t="s">
        <v>8</v>
      </c>
      <c r="P624" s="13">
        <f>(V617*X615-J624)</f>
        <v>47.302952266320297</v>
      </c>
      <c r="Q624" s="13"/>
      <c r="R624" s="1" t="s">
        <v>8</v>
      </c>
      <c r="BN624" s="3"/>
    </row>
    <row r="625" spans="2:66" ht="11.25" customHeight="1">
      <c r="B625" s="2"/>
      <c r="BN625" s="3"/>
    </row>
    <row r="626" spans="2:66" ht="11.25" customHeight="1">
      <c r="B626" s="2"/>
      <c r="BN626" s="3"/>
    </row>
    <row r="627" spans="2:66" ht="11.25" customHeight="1">
      <c r="B627" s="2"/>
      <c r="BN627" s="3"/>
    </row>
    <row r="628" spans="2:66" ht="11.25" customHeight="1">
      <c r="B628" s="2"/>
      <c r="G628" s="13">
        <f>V617*X615^2/(2*M630)</f>
        <v>37.604166666666664</v>
      </c>
      <c r="H628" s="13"/>
      <c r="I628" s="1" t="s">
        <v>8</v>
      </c>
      <c r="S628" s="13">
        <f>+G628</f>
        <v>37.604166666666664</v>
      </c>
      <c r="T628" s="13"/>
      <c r="U628" s="1" t="s">
        <v>8</v>
      </c>
      <c r="BN628" s="3"/>
    </row>
    <row r="629" spans="2:66" ht="11.25" customHeight="1">
      <c r="B629" s="2"/>
      <c r="BN629" s="3"/>
    </row>
    <row r="630" spans="2:66" ht="11.25" customHeight="1">
      <c r="B630" s="2"/>
      <c r="L630" s="1" t="s">
        <v>2</v>
      </c>
      <c r="M630" s="26">
        <v>4.5</v>
      </c>
      <c r="N630" s="26"/>
      <c r="O630" s="1" t="s">
        <v>0</v>
      </c>
      <c r="BN630" s="3"/>
    </row>
    <row r="631" spans="2:66" ht="11.25" customHeight="1">
      <c r="B631" s="2"/>
      <c r="BN631" s="3"/>
    </row>
    <row r="632" spans="2:66" ht="11.25" customHeight="1" thickBot="1">
      <c r="B632" s="8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10"/>
    </row>
    <row r="633" spans="2:66" ht="11.25" customHeight="1" thickBot="1"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</row>
    <row r="634" spans="2:66" ht="45.75" customHeight="1">
      <c r="B634" s="29" t="s">
        <v>44</v>
      </c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  <c r="BN634" s="31"/>
    </row>
    <row r="635" spans="2:66" ht="11.25" customHeight="1">
      <c r="B635" s="2"/>
      <c r="AI635" s="4" t="s">
        <v>38</v>
      </c>
      <c r="BN635" s="3"/>
    </row>
    <row r="636" spans="2:66" ht="11.25" customHeight="1">
      <c r="B636" s="2"/>
      <c r="Q636" s="26">
        <v>15</v>
      </c>
      <c r="R636" s="26"/>
      <c r="S636" s="1" t="s">
        <v>5</v>
      </c>
      <c r="BN636" s="3"/>
    </row>
    <row r="637" spans="2:66" ht="11.25" customHeight="1">
      <c r="B637" s="2"/>
      <c r="AP637" s="13">
        <f>R661/4+(AU641-AK640)/(Q636*R661/2)</f>
        <v>1.9908276650048831</v>
      </c>
      <c r="AQ637" s="13"/>
      <c r="AR637" s="1" t="s">
        <v>0</v>
      </c>
      <c r="BD637" s="13">
        <f>+AP637</f>
        <v>1.9908276650048831</v>
      </c>
      <c r="BE637" s="13"/>
      <c r="BF637" s="1" t="s">
        <v>0</v>
      </c>
      <c r="BN637" s="3"/>
    </row>
    <row r="638" spans="2:66" ht="11.25" customHeight="1">
      <c r="B638" s="2"/>
      <c r="BN638" s="3"/>
    </row>
    <row r="639" spans="2:66" ht="11.25" customHeight="1">
      <c r="B639" s="2"/>
      <c r="C639" s="6" t="s">
        <v>0</v>
      </c>
      <c r="BN639" s="3"/>
    </row>
    <row r="640" spans="2:66" ht="11.25" customHeight="1">
      <c r="B640" s="2"/>
      <c r="C640" s="23">
        <v>1.75</v>
      </c>
      <c r="AK640" s="13">
        <f>-Q636*R661^2*(3+5*S647)/(16*S650)</f>
        <v>-17.49413261217039</v>
      </c>
      <c r="AL640" s="13"/>
      <c r="AM640" s="13"/>
      <c r="BI640" s="13">
        <f>+AK640</f>
        <v>-17.49413261217039</v>
      </c>
      <c r="BJ640" s="13"/>
      <c r="BK640" s="13"/>
      <c r="BN640" s="3"/>
    </row>
    <row r="641" spans="2:66" ht="11.25" customHeight="1">
      <c r="B641" s="2"/>
      <c r="C641" s="23"/>
      <c r="AU641" s="13">
        <f>+Q636*R661^2/8+S647*AK640</f>
        <v>11.727551081744416</v>
      </c>
      <c r="AV641" s="13"/>
      <c r="AW641" s="13"/>
      <c r="AX641" s="13">
        <f>+AU641</f>
        <v>11.727551081744416</v>
      </c>
      <c r="AY641" s="13"/>
      <c r="AZ641" s="13"/>
      <c r="BN641" s="3"/>
    </row>
    <row r="642" spans="2:66" ht="11.25" customHeight="1">
      <c r="B642" s="2"/>
      <c r="C642" s="23"/>
      <c r="L642" s="5" t="s">
        <v>4</v>
      </c>
      <c r="M642" s="26">
        <v>351</v>
      </c>
      <c r="N642" s="26"/>
      <c r="O642" s="26"/>
      <c r="P642" s="1" t="s">
        <v>3</v>
      </c>
      <c r="U642" s="5" t="s">
        <v>4</v>
      </c>
      <c r="V642" s="13">
        <f>+M642</f>
        <v>351</v>
      </c>
      <c r="W642" s="13"/>
      <c r="X642" s="13"/>
      <c r="Y642" s="1" t="s">
        <v>3</v>
      </c>
      <c r="BN642" s="3"/>
    </row>
    <row r="643" spans="2:66" ht="11.25" customHeight="1">
      <c r="B643" s="2"/>
      <c r="AI643" s="13">
        <f>+AK640</f>
        <v>-17.49413261217039</v>
      </c>
      <c r="AJ643" s="13"/>
      <c r="AK643" s="13"/>
      <c r="BK643" s="13">
        <f>+AI643</f>
        <v>-17.49413261217039</v>
      </c>
      <c r="BL643" s="13"/>
      <c r="BM643" s="13"/>
      <c r="BN643" s="3"/>
    </row>
    <row r="644" spans="2:66" ht="11.25" customHeight="1">
      <c r="B644" s="2"/>
      <c r="Q644" s="1" t="s">
        <v>28</v>
      </c>
      <c r="S644" s="13">
        <f>SQRT(C640^2+(R661/2)^2)</f>
        <v>2.8504385627478448</v>
      </c>
      <c r="T644" s="13"/>
      <c r="BN644" s="3"/>
    </row>
    <row r="645" spans="2:66" ht="11.25" customHeight="1">
      <c r="B645" s="2"/>
      <c r="Q645" s="7" t="s">
        <v>30</v>
      </c>
      <c r="S645" s="13">
        <f>C640/C648</f>
        <v>0.5</v>
      </c>
      <c r="T645" s="13"/>
      <c r="AT645" s="13">
        <f>Q636*AP637*(R661/2-AP637)/2+(R661/2-AP637)/(R661/2)*AK640+AP637/(R661/2)*AU641</f>
        <v>12.231328325945574</v>
      </c>
      <c r="AU645" s="13"/>
      <c r="AV645" s="13"/>
      <c r="AY645" s="13">
        <f>+AT645</f>
        <v>12.231328325945574</v>
      </c>
      <c r="AZ645" s="13"/>
      <c r="BA645" s="13"/>
      <c r="BN645" s="3"/>
    </row>
    <row r="646" spans="2:66" ht="11.25" customHeight="1">
      <c r="B646" s="2"/>
      <c r="H646" s="24" t="s">
        <v>3</v>
      </c>
      <c r="Q646" s="1" t="s">
        <v>14</v>
      </c>
      <c r="S646" s="13">
        <f>M642/H648*C648/S644</f>
        <v>0.94722266085159168</v>
      </c>
      <c r="T646" s="13"/>
      <c r="AC646" s="24" t="s">
        <v>3</v>
      </c>
      <c r="BN646" s="3"/>
    </row>
    <row r="647" spans="2:66" ht="11.25" customHeight="1">
      <c r="B647" s="2"/>
      <c r="C647" s="6" t="s">
        <v>0</v>
      </c>
      <c r="H647" s="24"/>
      <c r="Q647" s="1" t="s">
        <v>31</v>
      </c>
      <c r="S647" s="13">
        <f>1+S645</f>
        <v>1.5</v>
      </c>
      <c r="T647" s="13"/>
      <c r="AC647" s="24"/>
      <c r="BN647" s="3"/>
    </row>
    <row r="648" spans="2:66" ht="11.25" customHeight="1">
      <c r="B648" s="2"/>
      <c r="C648" s="23">
        <v>3.5</v>
      </c>
      <c r="H648" s="23">
        <v>455</v>
      </c>
      <c r="Q648" s="1" t="s">
        <v>25</v>
      </c>
      <c r="S648" s="13">
        <f>2*(1+S646)+S647</f>
        <v>5.3944453217031834</v>
      </c>
      <c r="T648" s="13"/>
      <c r="AC648" s="24">
        <f>+H648</f>
        <v>455</v>
      </c>
      <c r="BN648" s="3"/>
    </row>
    <row r="649" spans="2:66" ht="11.25" customHeight="1">
      <c r="B649" s="2"/>
      <c r="C649" s="23"/>
      <c r="H649" s="23"/>
      <c r="Q649" s="1" t="s">
        <v>26</v>
      </c>
      <c r="S649" s="13">
        <f>1+2*S647</f>
        <v>4</v>
      </c>
      <c r="T649" s="13"/>
      <c r="AC649" s="24"/>
      <c r="AT649" s="1" t="s">
        <v>39</v>
      </c>
      <c r="BN649" s="3"/>
    </row>
    <row r="650" spans="2:66" ht="11.25" customHeight="1">
      <c r="B650" s="2"/>
      <c r="C650" s="23"/>
      <c r="H650" s="23"/>
      <c r="Q650" s="1" t="s">
        <v>27</v>
      </c>
      <c r="S650" s="13">
        <f>S648+S647*S649</f>
        <v>11.394445321703184</v>
      </c>
      <c r="T650" s="13"/>
      <c r="AC650" s="24"/>
      <c r="BN650" s="3"/>
    </row>
    <row r="651" spans="2:66" ht="11.25" customHeight="1">
      <c r="B651" s="2"/>
      <c r="C651" s="24" t="s">
        <v>1</v>
      </c>
      <c r="H651" s="23"/>
      <c r="AC651" s="24"/>
      <c r="BN651" s="3"/>
    </row>
    <row r="652" spans="2:66" ht="11.25" customHeight="1">
      <c r="B652" s="2"/>
      <c r="C652" s="24"/>
      <c r="H652" s="25" t="s">
        <v>4</v>
      </c>
      <c r="AC652" s="25" t="s">
        <v>4</v>
      </c>
      <c r="BN652" s="3"/>
    </row>
    <row r="653" spans="2:66" ht="11.25" customHeight="1">
      <c r="B653" s="2"/>
      <c r="H653" s="24"/>
      <c r="AC653" s="24"/>
      <c r="BN653" s="3"/>
    </row>
    <row r="654" spans="2:66" ht="11.25" customHeight="1">
      <c r="B654" s="2"/>
      <c r="BN654" s="3"/>
    </row>
    <row r="655" spans="2:66" ht="11.25" customHeight="1">
      <c r="B655" s="2"/>
      <c r="D655" s="13">
        <f>-AI643/C648</f>
        <v>4.998323603477254</v>
      </c>
      <c r="E655" s="13"/>
      <c r="F655" s="1" t="s">
        <v>8</v>
      </c>
      <c r="AF655" s="13">
        <f>+D655</f>
        <v>4.998323603477254</v>
      </c>
      <c r="AG655" s="13"/>
      <c r="AH655" s="1" t="s">
        <v>8</v>
      </c>
      <c r="BN655" s="3"/>
    </row>
    <row r="656" spans="2:66" ht="11.25" customHeight="1">
      <c r="B656" s="2"/>
      <c r="BN656" s="3"/>
    </row>
    <row r="657" spans="2:66" ht="11.25" customHeight="1">
      <c r="B657" s="2"/>
      <c r="BN657" s="3"/>
    </row>
    <row r="658" spans="2:66" ht="11.25" customHeight="1">
      <c r="B658" s="2"/>
      <c r="BN658" s="3"/>
    </row>
    <row r="659" spans="2:66" ht="11.25" customHeight="1">
      <c r="B659" s="2"/>
      <c r="G659" s="13">
        <f>Q636*R661/2</f>
        <v>33.75</v>
      </c>
      <c r="H659" s="13"/>
      <c r="I659" s="1" t="s">
        <v>8</v>
      </c>
      <c r="AC659" s="13">
        <f>+G659</f>
        <v>33.75</v>
      </c>
      <c r="AD659" s="13"/>
      <c r="AE659" s="1" t="s">
        <v>8</v>
      </c>
      <c r="BN659" s="3"/>
    </row>
    <row r="660" spans="2:66" ht="11.25" customHeight="1">
      <c r="B660" s="2"/>
      <c r="BN660" s="3"/>
    </row>
    <row r="661" spans="2:66" ht="11.25" customHeight="1">
      <c r="B661" s="2"/>
      <c r="Q661" s="1" t="s">
        <v>2</v>
      </c>
      <c r="R661" s="26">
        <v>4.5</v>
      </c>
      <c r="S661" s="26"/>
      <c r="T661" s="1" t="s">
        <v>0</v>
      </c>
      <c r="BN661" s="3"/>
    </row>
    <row r="662" spans="2:66" ht="11.25" customHeight="1">
      <c r="B662" s="2"/>
      <c r="BN662" s="3"/>
    </row>
    <row r="663" spans="2:66" ht="11.25" customHeight="1">
      <c r="B663" s="2"/>
      <c r="BN663" s="3"/>
    </row>
    <row r="664" spans="2:66" ht="11.25" customHeight="1">
      <c r="B664" s="2"/>
      <c r="L664" s="26">
        <v>15</v>
      </c>
      <c r="M664" s="26"/>
      <c r="N664" s="1" t="s">
        <v>5</v>
      </c>
      <c r="BN664" s="3"/>
    </row>
    <row r="665" spans="2:66" ht="11.25" customHeight="1">
      <c r="B665" s="2"/>
      <c r="AP665" s="13">
        <f>R689/4+(AU669-AK668)/(L664*R689/2)</f>
        <v>1.5579138325024415</v>
      </c>
      <c r="AQ665" s="13"/>
      <c r="AR665" s="1" t="s">
        <v>0</v>
      </c>
      <c r="BN665" s="3"/>
    </row>
    <row r="666" spans="2:66" ht="11.25" customHeight="1">
      <c r="B666" s="2"/>
      <c r="BN666" s="3"/>
    </row>
    <row r="667" spans="2:66" ht="11.25" customHeight="1">
      <c r="B667" s="2"/>
      <c r="C667" s="6" t="s">
        <v>0</v>
      </c>
      <c r="BN667" s="3"/>
    </row>
    <row r="668" spans="2:66" ht="11.25" customHeight="1">
      <c r="B668" s="2"/>
      <c r="C668" s="23">
        <v>1.75</v>
      </c>
      <c r="AK668" s="13">
        <f>-L664*R689^2*(3+5*S675)/(32*S678)</f>
        <v>-8.7470663060851948</v>
      </c>
      <c r="AL668" s="13"/>
      <c r="AM668" s="13"/>
      <c r="BI668" s="13">
        <f>+AK668</f>
        <v>-8.7470663060851948</v>
      </c>
      <c r="BJ668" s="13"/>
      <c r="BK668" s="13"/>
      <c r="BN668" s="3"/>
    </row>
    <row r="669" spans="2:66" ht="11.25" customHeight="1">
      <c r="B669" s="2"/>
      <c r="C669" s="23"/>
      <c r="AU669" s="13">
        <f>L664*R689^2/16+S675*AK668</f>
        <v>5.8637755408722079</v>
      </c>
      <c r="AV669" s="13"/>
      <c r="AW669" s="13"/>
      <c r="AX669" s="13">
        <f>+AU669</f>
        <v>5.8637755408722079</v>
      </c>
      <c r="AY669" s="13"/>
      <c r="AZ669" s="13"/>
      <c r="BN669" s="3"/>
    </row>
    <row r="670" spans="2:66" ht="11.25" customHeight="1">
      <c r="B670" s="2"/>
      <c r="C670" s="23"/>
      <c r="L670" s="5" t="s">
        <v>4</v>
      </c>
      <c r="M670" s="26">
        <v>351</v>
      </c>
      <c r="N670" s="26"/>
      <c r="O670" s="26"/>
      <c r="P670" s="1" t="s">
        <v>3</v>
      </c>
      <c r="U670" s="5" t="s">
        <v>4</v>
      </c>
      <c r="V670" s="13">
        <f>+M670</f>
        <v>351</v>
      </c>
      <c r="W670" s="13"/>
      <c r="X670" s="13"/>
      <c r="Y670" s="1" t="s">
        <v>3</v>
      </c>
      <c r="BN670" s="3"/>
    </row>
    <row r="671" spans="2:66" ht="11.25" customHeight="1">
      <c r="B671" s="2"/>
      <c r="AI671" s="13">
        <f>+AK668</f>
        <v>-8.7470663060851948</v>
      </c>
      <c r="AJ671" s="13"/>
      <c r="AK671" s="13"/>
      <c r="BK671" s="13">
        <f>+AI671</f>
        <v>-8.7470663060851948</v>
      </c>
      <c r="BL671" s="13"/>
      <c r="BM671" s="13"/>
      <c r="BN671" s="3"/>
    </row>
    <row r="672" spans="2:66" ht="11.25" customHeight="1">
      <c r="B672" s="2"/>
      <c r="Q672" s="1" t="s">
        <v>28</v>
      </c>
      <c r="S672" s="13">
        <f>SQRT(C668^2+(R689/2)^2)</f>
        <v>2.8504385627478448</v>
      </c>
      <c r="T672" s="13"/>
      <c r="BN672" s="3"/>
    </row>
    <row r="673" spans="2:66" ht="11.25" customHeight="1">
      <c r="B673" s="2"/>
      <c r="Q673" s="7" t="s">
        <v>30</v>
      </c>
      <c r="S673" s="13">
        <f>C668/C676</f>
        <v>0.5</v>
      </c>
      <c r="T673" s="13"/>
      <c r="AT673" s="13">
        <f>L664*AP665*(R689/2-AP665)/2+(R689/2-AP665)/(R689/2)*AK668+AP665/(R689/2)*AU669</f>
        <v>9.4561500151831481</v>
      </c>
      <c r="AU673" s="13"/>
      <c r="AV673" s="13"/>
      <c r="BN673" s="3"/>
    </row>
    <row r="674" spans="2:66" ht="11.25" customHeight="1">
      <c r="B674" s="2"/>
      <c r="H674" s="24" t="s">
        <v>3</v>
      </c>
      <c r="Q674" s="1" t="s">
        <v>14</v>
      </c>
      <c r="S674" s="13">
        <f>M670/H676*C676/S672</f>
        <v>0.94722266085159168</v>
      </c>
      <c r="T674" s="13"/>
      <c r="AC674" s="24" t="s">
        <v>3</v>
      </c>
      <c r="BN674" s="3"/>
    </row>
    <row r="675" spans="2:66" ht="11.25" customHeight="1">
      <c r="B675" s="2"/>
      <c r="C675" s="6" t="s">
        <v>0</v>
      </c>
      <c r="H675" s="24"/>
      <c r="Q675" s="1" t="s">
        <v>31</v>
      </c>
      <c r="S675" s="13">
        <f>1+S673</f>
        <v>1.5</v>
      </c>
      <c r="T675" s="13"/>
      <c r="AC675" s="24"/>
      <c r="BN675" s="3"/>
    </row>
    <row r="676" spans="2:66" ht="11.25" customHeight="1">
      <c r="B676" s="2"/>
      <c r="C676" s="23">
        <v>3.5</v>
      </c>
      <c r="H676" s="23">
        <v>455</v>
      </c>
      <c r="Q676" s="1" t="s">
        <v>25</v>
      </c>
      <c r="S676" s="13">
        <f>2*(1+S674)+S675</f>
        <v>5.3944453217031834</v>
      </c>
      <c r="T676" s="13"/>
      <c r="AC676" s="24">
        <f>+H676</f>
        <v>455</v>
      </c>
      <c r="BN676" s="3"/>
    </row>
    <row r="677" spans="2:66" ht="11.25" customHeight="1">
      <c r="B677" s="2"/>
      <c r="C677" s="23"/>
      <c r="H677" s="23"/>
      <c r="Q677" s="1" t="s">
        <v>26</v>
      </c>
      <c r="S677" s="13">
        <f>1+2*S675</f>
        <v>4</v>
      </c>
      <c r="T677" s="13"/>
      <c r="AC677" s="24"/>
      <c r="AT677" s="1" t="s">
        <v>39</v>
      </c>
      <c r="BN677" s="3"/>
    </row>
    <row r="678" spans="2:66" ht="11.25" customHeight="1">
      <c r="B678" s="2"/>
      <c r="C678" s="23"/>
      <c r="H678" s="23"/>
      <c r="Q678" s="1" t="s">
        <v>27</v>
      </c>
      <c r="S678" s="13">
        <f>S676+S675*S677</f>
        <v>11.394445321703184</v>
      </c>
      <c r="T678" s="13"/>
      <c r="AC678" s="24"/>
      <c r="BN678" s="3"/>
    </row>
    <row r="679" spans="2:66" ht="11.25" customHeight="1">
      <c r="B679" s="2"/>
      <c r="C679" s="24" t="s">
        <v>1</v>
      </c>
      <c r="H679" s="23"/>
      <c r="AC679" s="24"/>
      <c r="BN679" s="3"/>
    </row>
    <row r="680" spans="2:66" ht="11.25" customHeight="1">
      <c r="B680" s="2"/>
      <c r="C680" s="24"/>
      <c r="H680" s="25" t="s">
        <v>4</v>
      </c>
      <c r="AC680" s="25" t="s">
        <v>4</v>
      </c>
      <c r="BN680" s="3"/>
    </row>
    <row r="681" spans="2:66" ht="11.25" customHeight="1">
      <c r="B681" s="2"/>
      <c r="H681" s="24"/>
      <c r="AC681" s="24"/>
      <c r="BN681" s="3"/>
    </row>
    <row r="682" spans="2:66" ht="11.25" customHeight="1">
      <c r="B682" s="2"/>
      <c r="BN682" s="3"/>
    </row>
    <row r="683" spans="2:66" ht="11.25" customHeight="1">
      <c r="B683" s="2"/>
      <c r="D683" s="13">
        <f>-AI671/C676</f>
        <v>2.499161801738627</v>
      </c>
      <c r="E683" s="13"/>
      <c r="F683" s="1" t="s">
        <v>8</v>
      </c>
      <c r="AF683" s="13">
        <f>+D683</f>
        <v>2.499161801738627</v>
      </c>
      <c r="AG683" s="13"/>
      <c r="AH683" s="1" t="s">
        <v>8</v>
      </c>
      <c r="BN683" s="3"/>
    </row>
    <row r="684" spans="2:66" ht="11.25" customHeight="1">
      <c r="B684" s="2"/>
      <c r="BN684" s="3"/>
    </row>
    <row r="685" spans="2:66" ht="11.25" customHeight="1">
      <c r="B685" s="2"/>
      <c r="BN685" s="3"/>
    </row>
    <row r="686" spans="2:66" ht="11.25" customHeight="1">
      <c r="B686" s="2"/>
      <c r="BN686" s="3"/>
    </row>
    <row r="687" spans="2:66" ht="11.25" customHeight="1">
      <c r="B687" s="2"/>
      <c r="G687" s="13">
        <f>3/8*L664*R689</f>
        <v>25.3125</v>
      </c>
      <c r="H687" s="13"/>
      <c r="I687" s="1" t="s">
        <v>8</v>
      </c>
      <c r="AC687" s="13">
        <f>L664*R689/8</f>
        <v>8.4375</v>
      </c>
      <c r="AD687" s="13"/>
      <c r="AE687" s="1" t="s">
        <v>8</v>
      </c>
      <c r="BN687" s="3"/>
    </row>
    <row r="688" spans="2:66" ht="11.25" customHeight="1">
      <c r="B688" s="2"/>
      <c r="BN688" s="3"/>
    </row>
    <row r="689" spans="2:66" ht="11.25" customHeight="1">
      <c r="B689" s="2"/>
      <c r="Q689" s="1" t="s">
        <v>2</v>
      </c>
      <c r="R689" s="26">
        <v>4.5</v>
      </c>
      <c r="S689" s="26"/>
      <c r="T689" s="1" t="s">
        <v>0</v>
      </c>
      <c r="BN689" s="3"/>
    </row>
    <row r="690" spans="2:66" ht="11.25" customHeight="1">
      <c r="B690" s="2"/>
      <c r="BN690" s="3"/>
    </row>
    <row r="691" spans="2:66" ht="11.25" customHeight="1">
      <c r="B691" s="2"/>
      <c r="BN691" s="3"/>
    </row>
    <row r="692" spans="2:66" ht="11.25" customHeight="1">
      <c r="B692" s="2"/>
      <c r="R692" s="26">
        <v>15</v>
      </c>
      <c r="S692" s="26"/>
      <c r="T692" s="1" t="s">
        <v>8</v>
      </c>
      <c r="BN692" s="3"/>
    </row>
    <row r="693" spans="2:66" ht="11.25" customHeight="1">
      <c r="B693" s="2"/>
      <c r="BN693" s="3"/>
    </row>
    <row r="694" spans="2:66" ht="11.25" customHeight="1">
      <c r="B694" s="2"/>
      <c r="BN694" s="3"/>
    </row>
    <row r="695" spans="2:66" ht="11.25" customHeight="1">
      <c r="B695" s="2"/>
      <c r="BN695" s="3"/>
    </row>
    <row r="696" spans="2:66" ht="11.25" customHeight="1">
      <c r="B696" s="2"/>
      <c r="C696" s="6" t="s">
        <v>0</v>
      </c>
      <c r="BN696" s="3"/>
    </row>
    <row r="697" spans="2:66" ht="11.25" customHeight="1">
      <c r="B697" s="2"/>
      <c r="C697" s="23">
        <v>1.75</v>
      </c>
      <c r="AK697" s="13">
        <f>-R692*R718/4*S706/S707</f>
        <v>-5.9239390856026715</v>
      </c>
      <c r="AL697" s="13"/>
      <c r="AM697" s="13"/>
      <c r="BI697" s="13">
        <f>+AK697</f>
        <v>-5.9239390856026715</v>
      </c>
      <c r="BJ697" s="13"/>
      <c r="BK697" s="13"/>
      <c r="BN697" s="3"/>
    </row>
    <row r="698" spans="2:66" ht="11.25" customHeight="1">
      <c r="B698" s="2"/>
      <c r="C698" s="23"/>
      <c r="AU698" s="13">
        <f>R692*R718/4*S705/S707</f>
        <v>7.9890913715959915</v>
      </c>
      <c r="AV698" s="13"/>
      <c r="AW698" s="13"/>
      <c r="AX698" s="13">
        <f>+AU698</f>
        <v>7.9890913715959915</v>
      </c>
      <c r="AY698" s="13"/>
      <c r="AZ698" s="13"/>
      <c r="BN698" s="3"/>
    </row>
    <row r="699" spans="2:66" ht="11.25" customHeight="1">
      <c r="B699" s="2"/>
      <c r="C699" s="23"/>
      <c r="L699" s="5" t="s">
        <v>4</v>
      </c>
      <c r="M699" s="26">
        <v>351</v>
      </c>
      <c r="N699" s="26"/>
      <c r="O699" s="26"/>
      <c r="P699" s="1" t="s">
        <v>3</v>
      </c>
      <c r="U699" s="5" t="s">
        <v>4</v>
      </c>
      <c r="V699" s="13">
        <f>+M699</f>
        <v>351</v>
      </c>
      <c r="W699" s="13"/>
      <c r="X699" s="13"/>
      <c r="Y699" s="1" t="s">
        <v>3</v>
      </c>
      <c r="BN699" s="3"/>
    </row>
    <row r="700" spans="2:66" ht="11.25" customHeight="1">
      <c r="B700" s="2"/>
      <c r="AI700" s="13">
        <f>+AK697</f>
        <v>-5.9239390856026715</v>
      </c>
      <c r="AJ700" s="13"/>
      <c r="AK700" s="13"/>
      <c r="BK700" s="13">
        <f>+AI700</f>
        <v>-5.9239390856026715</v>
      </c>
      <c r="BL700" s="13"/>
      <c r="BM700" s="13"/>
      <c r="BN700" s="3"/>
    </row>
    <row r="701" spans="2:66" ht="11.25" customHeight="1">
      <c r="B701" s="2"/>
      <c r="Q701" s="1" t="s">
        <v>28</v>
      </c>
      <c r="S701" s="13">
        <f>SQRT(C697^2+(R718/2)^2)</f>
        <v>2.8504385627478448</v>
      </c>
      <c r="T701" s="13"/>
      <c r="BN701" s="3"/>
    </row>
    <row r="702" spans="2:66" ht="11.25" customHeight="1">
      <c r="B702" s="2"/>
      <c r="Q702" s="7" t="s">
        <v>30</v>
      </c>
      <c r="S702" s="13">
        <f>C697/C705</f>
        <v>0.5</v>
      </c>
      <c r="T702" s="13"/>
      <c r="BN702" s="3"/>
    </row>
    <row r="703" spans="2:66" ht="11.25" customHeight="1">
      <c r="B703" s="2"/>
      <c r="H703" s="24" t="s">
        <v>3</v>
      </c>
      <c r="Q703" s="1" t="s">
        <v>14</v>
      </c>
      <c r="S703" s="13">
        <f>M699/H705*C705/S701</f>
        <v>0.94722266085159168</v>
      </c>
      <c r="T703" s="13"/>
      <c r="AC703" s="24" t="s">
        <v>3</v>
      </c>
      <c r="BN703" s="3"/>
    </row>
    <row r="704" spans="2:66" ht="11.25" customHeight="1">
      <c r="B704" s="2"/>
      <c r="C704" s="6" t="s">
        <v>0</v>
      </c>
      <c r="H704" s="24"/>
      <c r="Q704" s="1" t="s">
        <v>31</v>
      </c>
      <c r="S704" s="13">
        <f>1+S702</f>
        <v>1.5</v>
      </c>
      <c r="T704" s="13"/>
      <c r="AC704" s="24"/>
      <c r="BN704" s="3"/>
    </row>
    <row r="705" spans="2:66" ht="11.25" customHeight="1">
      <c r="B705" s="2"/>
      <c r="C705" s="23">
        <v>3.5</v>
      </c>
      <c r="H705" s="23">
        <v>455</v>
      </c>
      <c r="Q705" s="1" t="s">
        <v>25</v>
      </c>
      <c r="S705" s="13">
        <f>2*(1+S703)+S704</f>
        <v>5.3944453217031834</v>
      </c>
      <c r="T705" s="13"/>
      <c r="AC705" s="24">
        <f>+H705</f>
        <v>455</v>
      </c>
      <c r="AT705" s="1" t="s">
        <v>39</v>
      </c>
      <c r="BN705" s="3"/>
    </row>
    <row r="706" spans="2:66" ht="11.25" customHeight="1">
      <c r="B706" s="2"/>
      <c r="C706" s="23"/>
      <c r="H706" s="23"/>
      <c r="Q706" s="1" t="s">
        <v>26</v>
      </c>
      <c r="S706" s="13">
        <f>1+2*S704</f>
        <v>4</v>
      </c>
      <c r="T706" s="13"/>
      <c r="AC706" s="24"/>
      <c r="BN706" s="3"/>
    </row>
    <row r="707" spans="2:66" ht="11.25" customHeight="1">
      <c r="B707" s="2"/>
      <c r="C707" s="23"/>
      <c r="H707" s="23"/>
      <c r="Q707" s="1" t="s">
        <v>27</v>
      </c>
      <c r="S707" s="13">
        <f>S705+S704*S706</f>
        <v>11.394445321703184</v>
      </c>
      <c r="T707" s="13"/>
      <c r="AC707" s="24"/>
      <c r="BN707" s="3"/>
    </row>
    <row r="708" spans="2:66" ht="11.25" customHeight="1">
      <c r="B708" s="2"/>
      <c r="C708" s="24" t="s">
        <v>1</v>
      </c>
      <c r="H708" s="23"/>
      <c r="AC708" s="24"/>
      <c r="BN708" s="3"/>
    </row>
    <row r="709" spans="2:66" ht="11.25" customHeight="1">
      <c r="B709" s="2"/>
      <c r="C709" s="24"/>
      <c r="H709" s="25" t="s">
        <v>4</v>
      </c>
      <c r="AC709" s="25" t="s">
        <v>4</v>
      </c>
      <c r="BN709" s="3"/>
    </row>
    <row r="710" spans="2:66" ht="11.25" customHeight="1">
      <c r="B710" s="2"/>
      <c r="H710" s="24"/>
      <c r="AC710" s="24"/>
      <c r="BN710" s="3"/>
    </row>
    <row r="711" spans="2:66" ht="11.25" customHeight="1">
      <c r="B711" s="2"/>
      <c r="BN711" s="3"/>
    </row>
    <row r="712" spans="2:66" ht="11.25" customHeight="1">
      <c r="B712" s="2"/>
      <c r="D712" s="13">
        <f>-AI700/C705</f>
        <v>1.692554024457906</v>
      </c>
      <c r="E712" s="13"/>
      <c r="F712" s="1" t="s">
        <v>8</v>
      </c>
      <c r="AF712" s="13">
        <f>+D712</f>
        <v>1.692554024457906</v>
      </c>
      <c r="AG712" s="13"/>
      <c r="AH712" s="1" t="s">
        <v>8</v>
      </c>
      <c r="BN712" s="3"/>
    </row>
    <row r="713" spans="2:66" ht="11.25" customHeight="1">
      <c r="B713" s="2"/>
      <c r="BN713" s="3"/>
    </row>
    <row r="714" spans="2:66" ht="11.25" customHeight="1">
      <c r="B714" s="2"/>
      <c r="BN714" s="3"/>
    </row>
    <row r="715" spans="2:66" ht="11.25" customHeight="1">
      <c r="B715" s="2"/>
      <c r="BN715" s="3"/>
    </row>
    <row r="716" spans="2:66" ht="11.25" customHeight="1">
      <c r="B716" s="2"/>
      <c r="G716" s="13">
        <f>R692/2</f>
        <v>7.5</v>
      </c>
      <c r="H716" s="13"/>
      <c r="I716" s="1" t="s">
        <v>8</v>
      </c>
      <c r="AC716" s="13">
        <f>+G716</f>
        <v>7.5</v>
      </c>
      <c r="AD716" s="13"/>
      <c r="AE716" s="1" t="s">
        <v>8</v>
      </c>
      <c r="BN716" s="3"/>
    </row>
    <row r="717" spans="2:66" ht="11.25" customHeight="1">
      <c r="B717" s="2"/>
      <c r="BN717" s="3"/>
    </row>
    <row r="718" spans="2:66" ht="11.25" customHeight="1">
      <c r="B718" s="2"/>
      <c r="Q718" s="1" t="s">
        <v>2</v>
      </c>
      <c r="R718" s="26">
        <v>4.5</v>
      </c>
      <c r="S718" s="26"/>
      <c r="T718" s="1" t="s">
        <v>0</v>
      </c>
      <c r="BN718" s="3"/>
    </row>
    <row r="719" spans="2:66" ht="11.25" customHeight="1">
      <c r="B719" s="2"/>
      <c r="BN719" s="3"/>
    </row>
    <row r="720" spans="2:66" ht="11.25" customHeight="1">
      <c r="B720" s="2"/>
      <c r="BN720" s="3"/>
    </row>
    <row r="721" spans="2:66" ht="11.25" customHeight="1">
      <c r="B721" s="2"/>
      <c r="R721" s="26">
        <v>15</v>
      </c>
      <c r="S721" s="26"/>
      <c r="T721" s="1" t="s">
        <v>8</v>
      </c>
      <c r="BN721" s="3"/>
    </row>
    <row r="722" spans="2:66" ht="11.25" customHeight="1">
      <c r="B722" s="2"/>
      <c r="BN722" s="3"/>
    </row>
    <row r="723" spans="2:66" ht="11.25" customHeight="1">
      <c r="B723" s="2"/>
      <c r="L723" s="13">
        <f>+R721</f>
        <v>15</v>
      </c>
      <c r="M723" s="13"/>
      <c r="N723" s="1" t="s">
        <v>8</v>
      </c>
      <c r="W723" s="13">
        <f>+R721</f>
        <v>15</v>
      </c>
      <c r="X723" s="13"/>
      <c r="Y723" s="1" t="s">
        <v>8</v>
      </c>
      <c r="BN723" s="3"/>
    </row>
    <row r="724" spans="2:66" ht="11.25" customHeight="1">
      <c r="B724" s="2"/>
      <c r="BN724" s="3"/>
    </row>
    <row r="725" spans="2:66" ht="11.25" customHeight="1">
      <c r="B725" s="2"/>
      <c r="C725" s="6" t="s">
        <v>0</v>
      </c>
      <c r="BN725" s="3"/>
    </row>
    <row r="726" spans="2:66" ht="11.25" customHeight="1">
      <c r="B726" s="2"/>
      <c r="C726" s="23">
        <v>1.75</v>
      </c>
      <c r="AK726" s="13">
        <f>-R721*R749*(11*S735-3*S733)/(16*S736)</f>
        <v>-14.624724617581595</v>
      </c>
      <c r="AL726" s="13"/>
      <c r="AM726" s="13"/>
      <c r="BI726" s="13">
        <f>+AK726</f>
        <v>-14.624724617581595</v>
      </c>
      <c r="BJ726" s="13"/>
      <c r="BK726" s="13"/>
      <c r="BN726" s="3"/>
    </row>
    <row r="727" spans="2:66" ht="11.25" customHeight="1">
      <c r="B727" s="2"/>
      <c r="C727" s="23"/>
      <c r="BN727" s="3"/>
    </row>
    <row r="728" spans="2:66" ht="11.25" customHeight="1">
      <c r="B728" s="2"/>
      <c r="C728" s="23"/>
      <c r="L728" s="5" t="s">
        <v>4</v>
      </c>
      <c r="M728" s="26">
        <v>351</v>
      </c>
      <c r="N728" s="26"/>
      <c r="O728" s="26"/>
      <c r="P728" s="1" t="s">
        <v>3</v>
      </c>
      <c r="U728" s="5" t="s">
        <v>4</v>
      </c>
      <c r="V728" s="13">
        <f>+M728</f>
        <v>351</v>
      </c>
      <c r="W728" s="13"/>
      <c r="X728" s="13"/>
      <c r="Y728" s="1" t="s">
        <v>3</v>
      </c>
      <c r="AU728" s="13">
        <f>R721*R749/2+S733*AK726</f>
        <v>11.812913073627605</v>
      </c>
      <c r="AV728" s="13"/>
      <c r="AW728" s="13"/>
      <c r="AX728" s="13">
        <f>+AU728</f>
        <v>11.812913073627605</v>
      </c>
      <c r="AY728" s="13"/>
      <c r="AZ728" s="13"/>
      <c r="BN728" s="3"/>
    </row>
    <row r="729" spans="2:66" ht="11.25" customHeight="1">
      <c r="B729" s="2"/>
      <c r="AI729" s="13">
        <f>+AK726</f>
        <v>-14.624724617581595</v>
      </c>
      <c r="AJ729" s="13"/>
      <c r="AK729" s="13"/>
      <c r="BK729" s="13">
        <f>+AI729</f>
        <v>-14.624724617581595</v>
      </c>
      <c r="BL729" s="13"/>
      <c r="BM729" s="13"/>
      <c r="BN729" s="3"/>
    </row>
    <row r="730" spans="2:66" ht="11.25" customHeight="1">
      <c r="B730" s="2"/>
      <c r="Q730" s="1" t="s">
        <v>28</v>
      </c>
      <c r="S730" s="13">
        <f>SQRT(C726^2+(R749/2)^2)</f>
        <v>2.8504385627478448</v>
      </c>
      <c r="T730" s="13"/>
      <c r="AR730" s="13">
        <f>R721*R749/8+(AK726+AU728)/2</f>
        <v>7.031594228023005</v>
      </c>
      <c r="AS730" s="13"/>
      <c r="AT730" s="13"/>
      <c r="BA730" s="13">
        <f>+AR730</f>
        <v>7.031594228023005</v>
      </c>
      <c r="BB730" s="13"/>
      <c r="BC730" s="13"/>
      <c r="BN730" s="3"/>
    </row>
    <row r="731" spans="2:66" ht="11.25" customHeight="1">
      <c r="B731" s="2"/>
      <c r="Q731" s="7" t="s">
        <v>30</v>
      </c>
      <c r="S731" s="13">
        <f>C726/C734</f>
        <v>0.5</v>
      </c>
      <c r="T731" s="13"/>
      <c r="BN731" s="3"/>
    </row>
    <row r="732" spans="2:66" ht="11.25" customHeight="1">
      <c r="B732" s="2"/>
      <c r="H732" s="24" t="s">
        <v>3</v>
      </c>
      <c r="Q732" s="1" t="s">
        <v>14</v>
      </c>
      <c r="S732" s="13">
        <f>M728/H734*C734/S730</f>
        <v>0.94722266085159168</v>
      </c>
      <c r="T732" s="13"/>
      <c r="AC732" s="24" t="s">
        <v>3</v>
      </c>
      <c r="BN732" s="3"/>
    </row>
    <row r="733" spans="2:66" ht="11.25" customHeight="1">
      <c r="B733" s="2"/>
      <c r="C733" s="6" t="s">
        <v>0</v>
      </c>
      <c r="H733" s="24"/>
      <c r="Q733" s="1" t="s">
        <v>31</v>
      </c>
      <c r="S733" s="13">
        <f>1+S731</f>
        <v>1.5</v>
      </c>
      <c r="T733" s="13"/>
      <c r="AC733" s="24"/>
      <c r="BN733" s="3"/>
    </row>
    <row r="734" spans="2:66" ht="11.25" customHeight="1">
      <c r="B734" s="2"/>
      <c r="C734" s="23">
        <v>3.5</v>
      </c>
      <c r="H734" s="23">
        <v>455</v>
      </c>
      <c r="Q734" s="1" t="s">
        <v>25</v>
      </c>
      <c r="S734" s="13">
        <f>2*(1+S732)+S733</f>
        <v>5.3944453217031834</v>
      </c>
      <c r="T734" s="13"/>
      <c r="AC734" s="24">
        <f>+H734</f>
        <v>455</v>
      </c>
      <c r="BN734" s="3"/>
    </row>
    <row r="735" spans="2:66" ht="11.25" customHeight="1">
      <c r="B735" s="2"/>
      <c r="C735" s="23"/>
      <c r="H735" s="23"/>
      <c r="Q735" s="1" t="s">
        <v>26</v>
      </c>
      <c r="S735" s="13">
        <f>1+2*S733</f>
        <v>4</v>
      </c>
      <c r="T735" s="13"/>
      <c r="AC735" s="24"/>
      <c r="AT735" s="1" t="s">
        <v>39</v>
      </c>
      <c r="BN735" s="3"/>
    </row>
    <row r="736" spans="2:66" ht="11.25" customHeight="1">
      <c r="B736" s="2"/>
      <c r="C736" s="23"/>
      <c r="H736" s="23"/>
      <c r="Q736" s="1" t="s">
        <v>27</v>
      </c>
      <c r="S736" s="13">
        <f>S734+S733*S735</f>
        <v>11.394445321703184</v>
      </c>
      <c r="T736" s="13"/>
      <c r="AC736" s="24"/>
      <c r="BN736" s="3"/>
    </row>
    <row r="737" spans="2:66" ht="11.25" customHeight="1">
      <c r="B737" s="2"/>
      <c r="C737" s="24" t="s">
        <v>1</v>
      </c>
      <c r="H737" s="23"/>
      <c r="AC737" s="24"/>
      <c r="BN737" s="3"/>
    </row>
    <row r="738" spans="2:66" ht="11.25" customHeight="1">
      <c r="B738" s="2"/>
      <c r="C738" s="24"/>
      <c r="H738" s="25" t="s">
        <v>4</v>
      </c>
      <c r="AC738" s="25" t="s">
        <v>4</v>
      </c>
      <c r="BN738" s="3"/>
    </row>
    <row r="739" spans="2:66" ht="11.25" customHeight="1">
      <c r="B739" s="2"/>
      <c r="H739" s="24"/>
      <c r="AC739" s="24"/>
      <c r="BN739" s="3"/>
    </row>
    <row r="740" spans="2:66" ht="11.25" customHeight="1">
      <c r="B740" s="2"/>
      <c r="BN740" s="3"/>
    </row>
    <row r="741" spans="2:66" ht="11.25" customHeight="1">
      <c r="B741" s="2"/>
      <c r="D741" s="13">
        <f>-AI729/C734</f>
        <v>4.1784927478804557</v>
      </c>
      <c r="E741" s="13"/>
      <c r="F741" s="1" t="s">
        <v>8</v>
      </c>
      <c r="AF741" s="13">
        <f>+D741</f>
        <v>4.1784927478804557</v>
      </c>
      <c r="AG741" s="13"/>
      <c r="AH741" s="1" t="s">
        <v>8</v>
      </c>
      <c r="BN741" s="3"/>
    </row>
    <row r="742" spans="2:66" ht="11.25" customHeight="1">
      <c r="B742" s="2"/>
      <c r="BN742" s="3"/>
    </row>
    <row r="743" spans="2:66" ht="11.25" customHeight="1">
      <c r="B743" s="2"/>
      <c r="BN743" s="3"/>
    </row>
    <row r="744" spans="2:66" ht="11.25" customHeight="1">
      <c r="B744" s="2"/>
      <c r="BN744" s="3"/>
    </row>
    <row r="745" spans="2:66" ht="11.25" customHeight="1">
      <c r="B745" s="2"/>
      <c r="G745" s="13">
        <f>3*R721/2</f>
        <v>22.5</v>
      </c>
      <c r="H745" s="13"/>
      <c r="I745" s="1" t="s">
        <v>8</v>
      </c>
      <c r="AC745" s="13">
        <f>+G745</f>
        <v>22.5</v>
      </c>
      <c r="AD745" s="13"/>
      <c r="AE745" s="1" t="s">
        <v>8</v>
      </c>
      <c r="BN745" s="3"/>
    </row>
    <row r="746" spans="2:66" ht="11.25" customHeight="1">
      <c r="B746" s="2"/>
      <c r="BN746" s="3"/>
    </row>
    <row r="747" spans="2:66" ht="11.25" customHeight="1">
      <c r="B747" s="2"/>
      <c r="I747" s="13">
        <f>+R749/4</f>
        <v>1.125</v>
      </c>
      <c r="J747" s="13"/>
      <c r="K747" s="1" t="s">
        <v>0</v>
      </c>
      <c r="O747" s="13">
        <f>+I747</f>
        <v>1.125</v>
      </c>
      <c r="P747" s="13"/>
      <c r="Q747" s="1" t="s">
        <v>0</v>
      </c>
      <c r="U747" s="13">
        <f>+O747</f>
        <v>1.125</v>
      </c>
      <c r="V747" s="13"/>
      <c r="W747" s="1" t="s">
        <v>0</v>
      </c>
      <c r="Z747" s="13">
        <f>+U747</f>
        <v>1.125</v>
      </c>
      <c r="AA747" s="13"/>
      <c r="AB747" s="1" t="s">
        <v>0</v>
      </c>
      <c r="BN747" s="3"/>
    </row>
    <row r="748" spans="2:66" ht="11.25" customHeight="1">
      <c r="B748" s="2"/>
      <c r="BN748" s="3"/>
    </row>
    <row r="749" spans="2:66" ht="11.25" customHeight="1">
      <c r="B749" s="2"/>
      <c r="Q749" s="1" t="s">
        <v>2</v>
      </c>
      <c r="R749" s="26">
        <v>4.5</v>
      </c>
      <c r="S749" s="26"/>
      <c r="T749" s="1" t="s">
        <v>0</v>
      </c>
      <c r="BN749" s="3"/>
    </row>
    <row r="750" spans="2:66" ht="11.25" customHeight="1">
      <c r="B750" s="2"/>
      <c r="BN750" s="3"/>
    </row>
    <row r="751" spans="2:66" ht="11.25" customHeight="1">
      <c r="B751" s="2"/>
      <c r="BN751" s="3"/>
    </row>
    <row r="752" spans="2:66" ht="11.25" customHeight="1">
      <c r="B752" s="2"/>
      <c r="AU752" s="13">
        <f>E759*C764/2+S763*BK759</f>
        <v>-6.213737733463546</v>
      </c>
      <c r="AV752" s="13"/>
      <c r="AW752" s="13"/>
      <c r="AX752" s="13">
        <f>+AU752</f>
        <v>-6.213737733463546</v>
      </c>
      <c r="AY752" s="13"/>
      <c r="AZ752" s="13"/>
      <c r="BN752" s="3"/>
    </row>
    <row r="753" spans="2:66" ht="11.25" customHeight="1">
      <c r="B753" s="2"/>
      <c r="BN753" s="3"/>
    </row>
    <row r="754" spans="2:66" ht="11.25" customHeight="1">
      <c r="B754" s="2"/>
      <c r="BN754" s="3"/>
    </row>
    <row r="755" spans="2:66" ht="11.25" customHeight="1">
      <c r="B755" s="2"/>
      <c r="C755" s="6" t="s">
        <v>0</v>
      </c>
      <c r="BI755" s="13">
        <f>+BK759</f>
        <v>-21.642491822309033</v>
      </c>
      <c r="BJ755" s="13"/>
      <c r="BK755" s="13"/>
      <c r="BN755" s="3"/>
    </row>
    <row r="756" spans="2:66" ht="11.25" customHeight="1">
      <c r="B756" s="2"/>
      <c r="C756" s="23">
        <v>1.75</v>
      </c>
      <c r="BN756" s="3"/>
    </row>
    <row r="757" spans="2:66" ht="11.25" customHeight="1">
      <c r="B757" s="2"/>
      <c r="C757" s="23"/>
      <c r="BN757" s="3"/>
    </row>
    <row r="758" spans="2:66" ht="11.25" customHeight="1">
      <c r="B758" s="2"/>
      <c r="C758" s="23"/>
      <c r="L758" s="5" t="s">
        <v>4</v>
      </c>
      <c r="M758" s="26">
        <v>351</v>
      </c>
      <c r="N758" s="26"/>
      <c r="O758" s="26"/>
      <c r="P758" s="1" t="s">
        <v>3</v>
      </c>
      <c r="U758" s="5" t="s">
        <v>4</v>
      </c>
      <c r="V758" s="13">
        <f>+M758</f>
        <v>351</v>
      </c>
      <c r="W758" s="13"/>
      <c r="X758" s="13"/>
      <c r="Y758" s="1" t="s">
        <v>3</v>
      </c>
      <c r="BN758" s="3"/>
    </row>
    <row r="759" spans="2:66" ht="11.25" customHeight="1">
      <c r="B759" s="2"/>
      <c r="E759" s="26">
        <v>15</v>
      </c>
      <c r="F759" s="26"/>
      <c r="G759" s="1" t="s">
        <v>8</v>
      </c>
      <c r="AO759" s="13">
        <f>E759*C764+BK759</f>
        <v>30.857508177690967</v>
      </c>
      <c r="AP759" s="13"/>
      <c r="AQ759" s="13"/>
      <c r="BK759" s="13">
        <f>-E759*C764*(S764+S765)/(2*S766)</f>
        <v>-21.642491822309033</v>
      </c>
      <c r="BL759" s="13"/>
      <c r="BM759" s="13"/>
      <c r="BN759" s="3"/>
    </row>
    <row r="760" spans="2:66" ht="11.25" customHeight="1">
      <c r="B760" s="2"/>
      <c r="Q760" s="1" t="s">
        <v>28</v>
      </c>
      <c r="S760" s="13">
        <f>SQRT(C756^2+(R777/2)^2)</f>
        <v>2.8504385627478448</v>
      </c>
      <c r="T760" s="13"/>
      <c r="BN760" s="3"/>
    </row>
    <row r="761" spans="2:66" ht="11.25" customHeight="1">
      <c r="B761" s="2"/>
      <c r="Q761" s="7" t="s">
        <v>30</v>
      </c>
      <c r="S761" s="13">
        <f>C756/C764</f>
        <v>0.5</v>
      </c>
      <c r="T761" s="13"/>
      <c r="BN761" s="3"/>
    </row>
    <row r="762" spans="2:66" ht="11.25" customHeight="1">
      <c r="B762" s="2"/>
      <c r="H762" s="24" t="s">
        <v>3</v>
      </c>
      <c r="Q762" s="1" t="s">
        <v>14</v>
      </c>
      <c r="S762" s="13">
        <f>M758/H764*C764/S760</f>
        <v>0.94722266085159168</v>
      </c>
      <c r="T762" s="13"/>
      <c r="AC762" s="24" t="s">
        <v>3</v>
      </c>
      <c r="BN762" s="3"/>
    </row>
    <row r="763" spans="2:66" ht="11.25" customHeight="1">
      <c r="B763" s="2"/>
      <c r="C763" s="6" t="s">
        <v>0</v>
      </c>
      <c r="H763" s="24"/>
      <c r="Q763" s="1" t="s">
        <v>31</v>
      </c>
      <c r="S763" s="13">
        <f>1+S761</f>
        <v>1.5</v>
      </c>
      <c r="T763" s="13"/>
      <c r="AC763" s="24"/>
      <c r="AN763" s="13">
        <f>+AO759</f>
        <v>30.857508177690967</v>
      </c>
      <c r="AO763" s="13"/>
      <c r="AP763" s="13"/>
      <c r="BN763" s="3"/>
    </row>
    <row r="764" spans="2:66" ht="11.25" customHeight="1">
      <c r="B764" s="2"/>
      <c r="C764" s="23">
        <v>3.5</v>
      </c>
      <c r="H764" s="23">
        <v>455</v>
      </c>
      <c r="Q764" s="1" t="s">
        <v>25</v>
      </c>
      <c r="S764" s="13">
        <f>2*(1+S762)+S763</f>
        <v>5.3944453217031834</v>
      </c>
      <c r="T764" s="13"/>
      <c r="AC764" s="24">
        <f>+H764</f>
        <v>455</v>
      </c>
      <c r="AT764" s="1" t="s">
        <v>39</v>
      </c>
      <c r="BN764" s="3"/>
    </row>
    <row r="765" spans="2:66" ht="11.25" customHeight="1">
      <c r="B765" s="2"/>
      <c r="C765" s="23"/>
      <c r="H765" s="23"/>
      <c r="Q765" s="1" t="s">
        <v>26</v>
      </c>
      <c r="S765" s="13">
        <f>1+2*S763</f>
        <v>4</v>
      </c>
      <c r="T765" s="13"/>
      <c r="AC765" s="24"/>
      <c r="BN765" s="3"/>
    </row>
    <row r="766" spans="2:66" ht="11.25" customHeight="1">
      <c r="B766" s="2"/>
      <c r="C766" s="23"/>
      <c r="H766" s="23"/>
      <c r="Q766" s="1" t="s">
        <v>27</v>
      </c>
      <c r="S766" s="13">
        <f>S764+S763*S765</f>
        <v>11.394445321703184</v>
      </c>
      <c r="T766" s="13"/>
      <c r="AC766" s="24"/>
      <c r="BN766" s="3"/>
    </row>
    <row r="767" spans="2:66" ht="11.25" customHeight="1">
      <c r="B767" s="2"/>
      <c r="C767" s="24" t="s">
        <v>1</v>
      </c>
      <c r="H767" s="23"/>
      <c r="AC767" s="24"/>
      <c r="BN767" s="3"/>
    </row>
    <row r="768" spans="2:66" ht="11.25" customHeight="1">
      <c r="B768" s="2"/>
      <c r="C768" s="24"/>
      <c r="H768" s="25" t="s">
        <v>4</v>
      </c>
      <c r="AC768" s="25" t="s">
        <v>4</v>
      </c>
      <c r="BN768" s="3"/>
    </row>
    <row r="769" spans="2:66" ht="11.25" customHeight="1">
      <c r="B769" s="2"/>
      <c r="H769" s="24"/>
      <c r="AC769" s="24"/>
      <c r="BN769" s="3"/>
    </row>
    <row r="770" spans="2:66" ht="11.25" customHeight="1">
      <c r="B770" s="2"/>
      <c r="BN770" s="3"/>
    </row>
    <row r="771" spans="2:66" ht="11.25" customHeight="1">
      <c r="B771" s="2"/>
      <c r="J771" s="13">
        <f>(E759-AF771)</f>
        <v>8.8164309079117054</v>
      </c>
      <c r="K771" s="13"/>
      <c r="L771" s="1" t="s">
        <v>8</v>
      </c>
      <c r="AF771" s="13">
        <f>-BK759/C764</f>
        <v>6.1835690920882955</v>
      </c>
      <c r="AG771" s="13"/>
      <c r="AH771" s="1" t="s">
        <v>8</v>
      </c>
      <c r="BN771" s="3"/>
    </row>
    <row r="772" spans="2:66" ht="11.25" customHeight="1">
      <c r="B772" s="2"/>
      <c r="BN772" s="3"/>
    </row>
    <row r="773" spans="2:66" ht="11.25" customHeight="1">
      <c r="B773" s="2"/>
      <c r="BN773" s="3"/>
    </row>
    <row r="774" spans="2:66" ht="11.25" customHeight="1">
      <c r="B774" s="2"/>
      <c r="BN774" s="3"/>
    </row>
    <row r="775" spans="2:66" ht="11.25" customHeight="1">
      <c r="B775" s="2"/>
      <c r="G775" s="13">
        <f>E759*C764/R777</f>
        <v>11.666666666666666</v>
      </c>
      <c r="H775" s="13"/>
      <c r="I775" s="1" t="s">
        <v>8</v>
      </c>
      <c r="AC775" s="13">
        <f>+G775</f>
        <v>11.666666666666666</v>
      </c>
      <c r="AD775" s="13"/>
      <c r="AE775" s="1" t="s">
        <v>8</v>
      </c>
      <c r="BN775" s="3"/>
    </row>
    <row r="776" spans="2:66" ht="11.25" customHeight="1">
      <c r="B776" s="2"/>
      <c r="BN776" s="3"/>
    </row>
    <row r="777" spans="2:66" ht="11.25" customHeight="1">
      <c r="B777" s="2"/>
      <c r="Q777" s="1" t="s">
        <v>2</v>
      </c>
      <c r="R777" s="26">
        <v>4.5</v>
      </c>
      <c r="S777" s="26"/>
      <c r="T777" s="1" t="s">
        <v>0</v>
      </c>
      <c r="BN777" s="3"/>
    </row>
    <row r="778" spans="2:66" ht="11.25" customHeight="1">
      <c r="B778" s="2"/>
      <c r="BN778" s="3"/>
    </row>
    <row r="779" spans="2:66" ht="11.25" customHeight="1">
      <c r="B779" s="2"/>
      <c r="AU779" s="13">
        <f>E792*C791^2/4+S790*BI782</f>
        <v>-13.738136635915154</v>
      </c>
      <c r="AV779" s="13"/>
      <c r="AW779" s="13"/>
      <c r="AX779" s="13">
        <f>+AU779</f>
        <v>-13.738136635915154</v>
      </c>
      <c r="AY779" s="13"/>
      <c r="AZ779" s="13"/>
      <c r="BN779" s="3"/>
    </row>
    <row r="780" spans="2:66" ht="11.25" customHeight="1">
      <c r="B780" s="2"/>
      <c r="BN780" s="3"/>
    </row>
    <row r="781" spans="2:66" ht="11.25" customHeight="1">
      <c r="B781" s="2"/>
      <c r="BN781" s="3"/>
    </row>
    <row r="782" spans="2:66" ht="11.25" customHeight="1">
      <c r="B782" s="2"/>
      <c r="C782" s="6" t="s">
        <v>0</v>
      </c>
      <c r="BI782" s="13">
        <f>+BK786</f>
        <v>-39.783757757276767</v>
      </c>
      <c r="BJ782" s="13"/>
      <c r="BK782" s="13"/>
      <c r="BN782" s="3"/>
    </row>
    <row r="783" spans="2:66" ht="11.25" customHeight="1">
      <c r="B783" s="2"/>
      <c r="C783" s="23">
        <v>1.75</v>
      </c>
      <c r="BN783" s="3"/>
    </row>
    <row r="784" spans="2:66" ht="11.25" customHeight="1">
      <c r="B784" s="2"/>
      <c r="C784" s="23"/>
      <c r="BN784" s="3"/>
    </row>
    <row r="785" spans="2:66" ht="11.25" customHeight="1">
      <c r="B785" s="2"/>
      <c r="C785" s="23"/>
      <c r="L785" s="5" t="s">
        <v>4</v>
      </c>
      <c r="M785" s="26">
        <v>351</v>
      </c>
      <c r="N785" s="26"/>
      <c r="O785" s="26"/>
      <c r="P785" s="1" t="s">
        <v>3</v>
      </c>
      <c r="U785" s="5" t="s">
        <v>4</v>
      </c>
      <c r="V785" s="13">
        <f>+M785</f>
        <v>351</v>
      </c>
      <c r="W785" s="13"/>
      <c r="X785" s="13"/>
      <c r="Y785" s="1" t="s">
        <v>3</v>
      </c>
      <c r="BN785" s="3"/>
    </row>
    <row r="786" spans="2:66" ht="11.25" customHeight="1">
      <c r="B786" s="2"/>
      <c r="AO786" s="13">
        <f>E792*C791^2/2+BK786</f>
        <v>52.091242242723233</v>
      </c>
      <c r="AP786" s="13"/>
      <c r="AQ786" s="13"/>
      <c r="BK786" s="13">
        <f>-E792*C791^2/8*((2*(S791+S792)+S789))/S793</f>
        <v>-39.783757757276767</v>
      </c>
      <c r="BL786" s="13"/>
      <c r="BM786" s="13"/>
      <c r="BN786" s="3"/>
    </row>
    <row r="787" spans="2:66" ht="11.25" customHeight="1">
      <c r="B787" s="2"/>
      <c r="Q787" s="1" t="s">
        <v>28</v>
      </c>
      <c r="S787" s="13">
        <f>SQRT(C783^2+(R804/2)^2)</f>
        <v>2.8504385627478448</v>
      </c>
      <c r="T787" s="13"/>
      <c r="BN787" s="3"/>
    </row>
    <row r="788" spans="2:66" ht="11.25" customHeight="1">
      <c r="B788" s="2"/>
      <c r="Q788" s="7" t="s">
        <v>30</v>
      </c>
      <c r="S788" s="13">
        <f>C783/C791</f>
        <v>0.5</v>
      </c>
      <c r="T788" s="13"/>
      <c r="BN788" s="3"/>
    </row>
    <row r="789" spans="2:66" ht="11.25" customHeight="1">
      <c r="B789" s="2"/>
      <c r="E789" s="24" t="s">
        <v>5</v>
      </c>
      <c r="H789" s="24" t="s">
        <v>3</v>
      </c>
      <c r="Q789" s="1" t="s">
        <v>14</v>
      </c>
      <c r="S789" s="13">
        <f>M785/H791*C791/S787</f>
        <v>0.94722266085159168</v>
      </c>
      <c r="T789" s="13"/>
      <c r="AC789" s="24" t="s">
        <v>3</v>
      </c>
      <c r="BN789" s="3"/>
    </row>
    <row r="790" spans="2:66" ht="11.25" customHeight="1">
      <c r="B790" s="2"/>
      <c r="C790" s="6" t="s">
        <v>0</v>
      </c>
      <c r="E790" s="24"/>
      <c r="H790" s="24"/>
      <c r="Q790" s="1" t="s">
        <v>31</v>
      </c>
      <c r="S790" s="13">
        <f>1+S788</f>
        <v>1.5</v>
      </c>
      <c r="T790" s="13"/>
      <c r="AC790" s="24"/>
      <c r="AN790" s="13">
        <f>+AO786</f>
        <v>52.091242242723233</v>
      </c>
      <c r="AO790" s="13"/>
      <c r="AP790" s="13"/>
      <c r="BN790" s="3"/>
    </row>
    <row r="791" spans="2:66" ht="11.25" customHeight="1">
      <c r="B791" s="2"/>
      <c r="C791" s="23">
        <v>3.5</v>
      </c>
      <c r="E791" s="24"/>
      <c r="H791" s="23">
        <v>455</v>
      </c>
      <c r="Q791" s="1" t="s">
        <v>25</v>
      </c>
      <c r="S791" s="13">
        <f>2*(1+S789)+S790</f>
        <v>5.3944453217031834</v>
      </c>
      <c r="T791" s="13"/>
      <c r="AC791" s="24">
        <f>+H791</f>
        <v>455</v>
      </c>
      <c r="BN791" s="3"/>
    </row>
    <row r="792" spans="2:66" ht="11.25" customHeight="1">
      <c r="B792" s="2"/>
      <c r="C792" s="23"/>
      <c r="E792" s="23">
        <v>15</v>
      </c>
      <c r="H792" s="23"/>
      <c r="Q792" s="1" t="s">
        <v>26</v>
      </c>
      <c r="S792" s="13">
        <f>1+2*S790</f>
        <v>4</v>
      </c>
      <c r="T792" s="13"/>
      <c r="AC792" s="24"/>
      <c r="AT792" s="1" t="s">
        <v>39</v>
      </c>
      <c r="BN792" s="3"/>
    </row>
    <row r="793" spans="2:66" ht="11.25" customHeight="1">
      <c r="B793" s="2"/>
      <c r="C793" s="23"/>
      <c r="E793" s="23"/>
      <c r="H793" s="23"/>
      <c r="Q793" s="1" t="s">
        <v>27</v>
      </c>
      <c r="S793" s="13">
        <f>S791+S790*S792</f>
        <v>11.394445321703184</v>
      </c>
      <c r="T793" s="13"/>
      <c r="AC793" s="24"/>
      <c r="BN793" s="3"/>
    </row>
    <row r="794" spans="2:66" ht="11.25" customHeight="1">
      <c r="B794" s="2"/>
      <c r="C794" s="24" t="s">
        <v>1</v>
      </c>
      <c r="E794" s="23"/>
      <c r="H794" s="23"/>
      <c r="Q794" s="1" t="s">
        <v>41</v>
      </c>
      <c r="S794" s="13">
        <f>+AO786+S795</f>
        <v>91.875</v>
      </c>
      <c r="T794" s="13"/>
      <c r="AC794" s="24"/>
      <c r="BN794" s="3"/>
    </row>
    <row r="795" spans="2:66" ht="11.25" customHeight="1">
      <c r="B795" s="2"/>
      <c r="C795" s="24"/>
      <c r="H795" s="25" t="s">
        <v>4</v>
      </c>
      <c r="Q795" s="1" t="s">
        <v>29</v>
      </c>
      <c r="S795" s="13">
        <f>-BK786</f>
        <v>39.783757757276767</v>
      </c>
      <c r="T795" s="13"/>
      <c r="AC795" s="25" t="s">
        <v>4</v>
      </c>
      <c r="BN795" s="3"/>
    </row>
    <row r="796" spans="2:66" ht="11.25" customHeight="1">
      <c r="B796" s="2"/>
      <c r="H796" s="24"/>
      <c r="AC796" s="24"/>
      <c r="BN796" s="3"/>
    </row>
    <row r="797" spans="2:66" ht="11.25" customHeight="1">
      <c r="B797" s="2"/>
      <c r="BN797" s="3"/>
    </row>
    <row r="798" spans="2:66" ht="11.25" customHeight="1">
      <c r="B798" s="2"/>
      <c r="J798" s="13">
        <f>(E792*C791-AF798)</f>
        <v>41.133212069349497</v>
      </c>
      <c r="K798" s="13"/>
      <c r="L798" s="1" t="s">
        <v>8</v>
      </c>
      <c r="AF798" s="13">
        <f>-BK786/C791</f>
        <v>11.366787930650505</v>
      </c>
      <c r="AG798" s="13"/>
      <c r="AH798" s="1" t="s">
        <v>8</v>
      </c>
      <c r="BN798" s="3"/>
    </row>
    <row r="799" spans="2:66" ht="11.25" customHeight="1">
      <c r="B799" s="2"/>
      <c r="BN799" s="3"/>
    </row>
    <row r="800" spans="2:66" ht="11.25" customHeight="1">
      <c r="B800" s="2"/>
      <c r="BN800" s="3"/>
    </row>
    <row r="801" spans="2:66" ht="11.25" customHeight="1">
      <c r="B801" s="2"/>
      <c r="BN801" s="3"/>
    </row>
    <row r="802" spans="2:66" ht="11.25" customHeight="1">
      <c r="B802" s="2"/>
      <c r="G802" s="13">
        <f>E792*C791^2/(2*R804)</f>
        <v>20.416666666666668</v>
      </c>
      <c r="H802" s="13"/>
      <c r="I802" s="1" t="s">
        <v>8</v>
      </c>
      <c r="AC802" s="13">
        <f>+G802</f>
        <v>20.416666666666668</v>
      </c>
      <c r="AD802" s="13"/>
      <c r="AE802" s="1" t="s">
        <v>8</v>
      </c>
      <c r="BN802" s="3"/>
    </row>
    <row r="803" spans="2:66" ht="11.25" customHeight="1">
      <c r="B803" s="2"/>
      <c r="BN803" s="3"/>
    </row>
    <row r="804" spans="2:66" ht="11.25" customHeight="1">
      <c r="B804" s="2"/>
      <c r="Q804" s="1" t="s">
        <v>2</v>
      </c>
      <c r="R804" s="26">
        <v>4.5</v>
      </c>
      <c r="S804" s="26"/>
      <c r="T804" s="1" t="s">
        <v>0</v>
      </c>
      <c r="BN804" s="3"/>
    </row>
    <row r="805" spans="2:66" ht="11.25" customHeight="1">
      <c r="B805" s="2"/>
      <c r="BN805" s="3"/>
    </row>
    <row r="806" spans="2:66" ht="11.25" customHeight="1">
      <c r="B806" s="2"/>
      <c r="AU806" s="13">
        <f>-E810*C810^2/4+S817*S821</f>
        <v>-7.3268187927866668</v>
      </c>
      <c r="AV806" s="13"/>
      <c r="AW806" s="13"/>
      <c r="AX806" s="13">
        <f>+AU806</f>
        <v>-7.3268187927866668</v>
      </c>
      <c r="AY806" s="13"/>
      <c r="AZ806" s="13"/>
      <c r="BN806" s="3"/>
    </row>
    <row r="807" spans="2:66" ht="11.25" customHeight="1">
      <c r="B807" s="2"/>
      <c r="E807" s="24" t="s">
        <v>5</v>
      </c>
      <c r="BN807" s="3"/>
    </row>
    <row r="808" spans="2:66" ht="11.25" customHeight="1">
      <c r="B808" s="2"/>
      <c r="E808" s="24"/>
      <c r="BN808" s="3"/>
    </row>
    <row r="809" spans="2:66" ht="11.25" customHeight="1">
      <c r="B809" s="2"/>
      <c r="C809" s="6" t="s">
        <v>0</v>
      </c>
      <c r="E809" s="24"/>
      <c r="BI809" s="13">
        <f>+BK813</f>
        <v>-43.165795861857781</v>
      </c>
      <c r="BJ809" s="13"/>
      <c r="BK809" s="13"/>
      <c r="BN809" s="3"/>
    </row>
    <row r="810" spans="2:66" ht="11.25" customHeight="1">
      <c r="B810" s="2"/>
      <c r="C810" s="23">
        <v>1.75</v>
      </c>
      <c r="E810" s="23">
        <v>15</v>
      </c>
      <c r="BN810" s="3"/>
    </row>
    <row r="811" spans="2:66" ht="11.25" customHeight="1">
      <c r="B811" s="2"/>
      <c r="C811" s="23"/>
      <c r="E811" s="23"/>
      <c r="BN811" s="3"/>
    </row>
    <row r="812" spans="2:66" ht="11.25" customHeight="1">
      <c r="B812" s="2"/>
      <c r="C812" s="23"/>
      <c r="E812" s="23"/>
      <c r="L812" s="5" t="s">
        <v>4</v>
      </c>
      <c r="M812" s="26">
        <v>351</v>
      </c>
      <c r="N812" s="26"/>
      <c r="O812" s="26"/>
      <c r="P812" s="1" t="s">
        <v>3</v>
      </c>
      <c r="U812" s="5" t="s">
        <v>4</v>
      </c>
      <c r="V812" s="13">
        <f>+M812</f>
        <v>351</v>
      </c>
      <c r="W812" s="13"/>
      <c r="X812" s="13"/>
      <c r="Y812" s="1" t="s">
        <v>3</v>
      </c>
      <c r="BN812" s="3"/>
    </row>
    <row r="813" spans="2:66" ht="11.25" customHeight="1">
      <c r="B813" s="2"/>
      <c r="AO813" s="13">
        <f>S821+E810*C810*C818/2</f>
        <v>48.709204138142219</v>
      </c>
      <c r="AP813" s="13"/>
      <c r="AQ813" s="13"/>
      <c r="BK813" s="13">
        <f>S821-E810*C810*C818/2</f>
        <v>-43.165795861857781</v>
      </c>
      <c r="BL813" s="13"/>
      <c r="BM813" s="13"/>
      <c r="BN813" s="3"/>
    </row>
    <row r="814" spans="2:66" ht="11.25" customHeight="1">
      <c r="B814" s="2"/>
      <c r="Q814" s="1" t="s">
        <v>28</v>
      </c>
      <c r="S814" s="13">
        <f>SQRT(C810^2+(R831/2)^2)</f>
        <v>2.8504385627478448</v>
      </c>
      <c r="T814" s="13"/>
      <c r="BN814" s="3"/>
    </row>
    <row r="815" spans="2:66" ht="11.25" customHeight="1">
      <c r="B815" s="2"/>
      <c r="Q815" s="7" t="s">
        <v>30</v>
      </c>
      <c r="S815" s="13">
        <f>C810/C818</f>
        <v>0.5</v>
      </c>
      <c r="T815" s="13"/>
      <c r="BN815" s="3"/>
    </row>
    <row r="816" spans="2:66" ht="11.25" customHeight="1">
      <c r="B816" s="2"/>
      <c r="H816" s="24" t="s">
        <v>3</v>
      </c>
      <c r="Q816" s="1" t="s">
        <v>14</v>
      </c>
      <c r="S816" s="13">
        <f>M812/H818*C818/S814</f>
        <v>0.94722266085159168</v>
      </c>
      <c r="T816" s="13"/>
      <c r="AC816" s="24" t="s">
        <v>3</v>
      </c>
      <c r="BN816" s="3"/>
    </row>
    <row r="817" spans="2:66" ht="11.25" customHeight="1">
      <c r="B817" s="2"/>
      <c r="C817" s="6" t="s">
        <v>0</v>
      </c>
      <c r="H817" s="24"/>
      <c r="Q817" s="1" t="s">
        <v>31</v>
      </c>
      <c r="S817" s="13">
        <f>1+S815</f>
        <v>1.5</v>
      </c>
      <c r="T817" s="13"/>
      <c r="AC817" s="24"/>
      <c r="AN817" s="13">
        <f>+AO813</f>
        <v>48.709204138142219</v>
      </c>
      <c r="AO817" s="13"/>
      <c r="AP817" s="13"/>
      <c r="BN817" s="3"/>
    </row>
    <row r="818" spans="2:66" ht="11.25" customHeight="1">
      <c r="B818" s="2"/>
      <c r="C818" s="23">
        <v>3.5</v>
      </c>
      <c r="H818" s="23">
        <v>455</v>
      </c>
      <c r="Q818" s="1" t="s">
        <v>25</v>
      </c>
      <c r="S818" s="13">
        <f>2*(1+S816)+S817</f>
        <v>5.3944453217031834</v>
      </c>
      <c r="T818" s="13"/>
      <c r="AC818" s="24">
        <f>+H818</f>
        <v>455</v>
      </c>
      <c r="BN818" s="3"/>
    </row>
    <row r="819" spans="2:66" ht="11.25" customHeight="1">
      <c r="B819" s="2"/>
      <c r="C819" s="23"/>
      <c r="H819" s="23"/>
      <c r="Q819" s="1" t="s">
        <v>26</v>
      </c>
      <c r="S819" s="13">
        <f>1+2*S817</f>
        <v>4</v>
      </c>
      <c r="T819" s="13"/>
      <c r="AC819" s="24"/>
      <c r="AT819" s="1" t="s">
        <v>39</v>
      </c>
      <c r="BN819" s="3"/>
    </row>
    <row r="820" spans="2:66" ht="11.25" customHeight="1">
      <c r="B820" s="2"/>
      <c r="C820" s="23"/>
      <c r="H820" s="23"/>
      <c r="Q820" s="1" t="s">
        <v>27</v>
      </c>
      <c r="S820" s="13">
        <f>S818+S817*S819</f>
        <v>11.394445321703184</v>
      </c>
      <c r="T820" s="13"/>
      <c r="AC820" s="24"/>
      <c r="BN820" s="3"/>
    </row>
    <row r="821" spans="2:66" ht="11.25" customHeight="1">
      <c r="B821" s="2"/>
      <c r="C821" s="24" t="s">
        <v>1</v>
      </c>
      <c r="H821" s="23"/>
      <c r="Q821" s="1" t="s">
        <v>29</v>
      </c>
      <c r="S821" s="13">
        <f>E810*C810^2*(S819+S817)/(8*S820)</f>
        <v>2.7717041381422223</v>
      </c>
      <c r="T821" s="13"/>
      <c r="AC821" s="24"/>
      <c r="BN821" s="3"/>
    </row>
    <row r="822" spans="2:66" ht="11.25" customHeight="1">
      <c r="B822" s="2"/>
      <c r="C822" s="24"/>
      <c r="H822" s="25" t="s">
        <v>4</v>
      </c>
      <c r="AC822" s="25" t="s">
        <v>4</v>
      </c>
      <c r="BN822" s="3"/>
    </row>
    <row r="823" spans="2:66" ht="11.25" customHeight="1">
      <c r="B823" s="2"/>
      <c r="H823" s="24"/>
      <c r="AC823" s="24"/>
      <c r="BN823" s="3"/>
    </row>
    <row r="824" spans="2:66" ht="11.25" customHeight="1">
      <c r="B824" s="2"/>
      <c r="BN824" s="3"/>
    </row>
    <row r="825" spans="2:66" ht="11.25" customHeight="1">
      <c r="B825" s="2"/>
      <c r="J825" s="13">
        <f>-(-S821/C818-E810*C810/2)</f>
        <v>13.916915468040635</v>
      </c>
      <c r="K825" s="13"/>
      <c r="L825" s="1" t="s">
        <v>8</v>
      </c>
      <c r="AF825" s="13">
        <f>(-S821/C818+E810*C810/2)</f>
        <v>12.333084531959365</v>
      </c>
      <c r="AG825" s="13"/>
      <c r="AH825" s="1" t="s">
        <v>8</v>
      </c>
      <c r="BN825" s="3"/>
    </row>
    <row r="826" spans="2:66" ht="11.25" customHeight="1">
      <c r="B826" s="2"/>
      <c r="BN826" s="3"/>
    </row>
    <row r="827" spans="2:66" ht="11.25" customHeight="1">
      <c r="B827" s="2"/>
      <c r="BN827" s="3"/>
    </row>
    <row r="828" spans="2:66" ht="11.25" customHeight="1">
      <c r="B828" s="2"/>
      <c r="BN828" s="3"/>
    </row>
    <row r="829" spans="2:66" ht="11.25" customHeight="1">
      <c r="B829" s="2"/>
      <c r="G829" s="13">
        <f>E810*C810*C818*(1+S817)/(2*R831)</f>
        <v>25.520833333333332</v>
      </c>
      <c r="H829" s="13"/>
      <c r="I829" s="1" t="s">
        <v>8</v>
      </c>
      <c r="AC829" s="13">
        <f>+G829</f>
        <v>25.520833333333332</v>
      </c>
      <c r="AD829" s="13"/>
      <c r="AE829" s="1" t="s">
        <v>8</v>
      </c>
      <c r="BN829" s="3"/>
    </row>
    <row r="830" spans="2:66" ht="11.25" customHeight="1">
      <c r="B830" s="2"/>
      <c r="BN830" s="3"/>
    </row>
    <row r="831" spans="2:66" ht="11.25" customHeight="1">
      <c r="B831" s="2"/>
      <c r="Q831" s="1" t="s">
        <v>2</v>
      </c>
      <c r="R831" s="26">
        <v>4.5</v>
      </c>
      <c r="S831" s="26"/>
      <c r="T831" s="1" t="s">
        <v>0</v>
      </c>
      <c r="BN831" s="3"/>
    </row>
    <row r="832" spans="2:66" ht="11.25" customHeight="1">
      <c r="B832" s="2"/>
      <c r="BN832" s="3"/>
    </row>
    <row r="833" spans="2:66" ht="11.25" customHeight="1">
      <c r="B833" s="2"/>
      <c r="AU833" s="13">
        <f>I843*H837/2-S844*S849</f>
        <v>-1.3604291575098237</v>
      </c>
      <c r="AV833" s="13"/>
      <c r="AW833" s="13"/>
      <c r="AX833" s="13">
        <f>+AU833</f>
        <v>-1.3604291575098237</v>
      </c>
      <c r="AY833" s="13"/>
      <c r="AZ833" s="13"/>
      <c r="BN833" s="3"/>
    </row>
    <row r="834" spans="2:66" ht="11.25" customHeight="1">
      <c r="B834" s="2"/>
      <c r="BN834" s="3"/>
    </row>
    <row r="835" spans="2:66" ht="11.25" customHeight="1">
      <c r="B835" s="2"/>
      <c r="BN835" s="3"/>
    </row>
    <row r="836" spans="2:66" ht="11.25" customHeight="1">
      <c r="B836" s="2"/>
      <c r="C836" s="6" t="s">
        <v>0</v>
      </c>
      <c r="BI836" s="13">
        <f>-S849</f>
        <v>-4.9069527716732155</v>
      </c>
      <c r="BJ836" s="13"/>
      <c r="BK836" s="13"/>
      <c r="BN836" s="3"/>
    </row>
    <row r="837" spans="2:66" ht="11.25" customHeight="1">
      <c r="B837" s="2"/>
      <c r="C837" s="23">
        <v>1.75</v>
      </c>
      <c r="H837" s="26">
        <v>0.8</v>
      </c>
      <c r="I837" s="26"/>
      <c r="J837" s="1" t="s">
        <v>0</v>
      </c>
      <c r="BN837" s="3"/>
    </row>
    <row r="838" spans="2:66" ht="11.25" customHeight="1">
      <c r="B838" s="2"/>
      <c r="C838" s="23"/>
      <c r="BN838" s="3"/>
    </row>
    <row r="839" spans="2:66" ht="11.25" customHeight="1">
      <c r="B839" s="2"/>
      <c r="C839" s="23"/>
      <c r="L839" s="5" t="s">
        <v>4</v>
      </c>
      <c r="M839" s="26">
        <v>351</v>
      </c>
      <c r="N839" s="26"/>
      <c r="O839" s="26"/>
      <c r="P839" s="1" t="s">
        <v>3</v>
      </c>
      <c r="U839" s="5" t="s">
        <v>4</v>
      </c>
      <c r="V839" s="13">
        <f>+M839</f>
        <v>351</v>
      </c>
      <c r="W839" s="13"/>
      <c r="X839" s="13"/>
      <c r="Y839" s="1" t="s">
        <v>3</v>
      </c>
      <c r="BN839" s="3"/>
    </row>
    <row r="840" spans="2:66" ht="11.25" customHeight="1">
      <c r="B840" s="2"/>
      <c r="BK840" s="13">
        <f>+BI836</f>
        <v>-4.9069527716732155</v>
      </c>
      <c r="BL840" s="13"/>
      <c r="BM840" s="13"/>
      <c r="BN840" s="3"/>
    </row>
    <row r="841" spans="2:66" ht="11.25" customHeight="1">
      <c r="B841" s="2"/>
      <c r="E841" s="6" t="s">
        <v>0</v>
      </c>
      <c r="Q841" s="1" t="s">
        <v>28</v>
      </c>
      <c r="S841" s="13">
        <f>SQRT(C837^2+(R858/2)^2)</f>
        <v>2.8504385627478448</v>
      </c>
      <c r="T841" s="13"/>
      <c r="BN841" s="3"/>
    </row>
    <row r="842" spans="2:66" ht="11.25" customHeight="1">
      <c r="B842" s="2"/>
      <c r="E842" s="24">
        <f>+C845-E847</f>
        <v>1.4</v>
      </c>
      <c r="Q842" s="7" t="s">
        <v>30</v>
      </c>
      <c r="S842" s="13">
        <f>C837/C845</f>
        <v>0.5</v>
      </c>
      <c r="T842" s="13"/>
      <c r="BN842" s="3"/>
    </row>
    <row r="843" spans="2:66" ht="11.25" customHeight="1">
      <c r="B843" s="2"/>
      <c r="E843" s="24"/>
      <c r="H843" s="24" t="s">
        <v>3</v>
      </c>
      <c r="I843" s="26">
        <v>15</v>
      </c>
      <c r="J843" s="26"/>
      <c r="K843" s="1" t="s">
        <v>8</v>
      </c>
      <c r="Q843" s="1" t="s">
        <v>14</v>
      </c>
      <c r="S843" s="13">
        <f>M839/H845*C845/S841</f>
        <v>0.94722266085159168</v>
      </c>
      <c r="T843" s="13"/>
      <c r="AC843" s="24" t="s">
        <v>3</v>
      </c>
      <c r="AM843" s="13">
        <f>I843*H837-S849</f>
        <v>7.0930472283267845</v>
      </c>
      <c r="AN843" s="13"/>
      <c r="AO843" s="13"/>
      <c r="BN843" s="3"/>
    </row>
    <row r="844" spans="2:66" ht="11.25" customHeight="1">
      <c r="B844" s="2"/>
      <c r="C844" s="6" t="s">
        <v>0</v>
      </c>
      <c r="E844" s="24"/>
      <c r="H844" s="24"/>
      <c r="Q844" s="1" t="s">
        <v>31</v>
      </c>
      <c r="S844" s="13">
        <f>1+S842</f>
        <v>1.5</v>
      </c>
      <c r="T844" s="13"/>
      <c r="AC844" s="24"/>
      <c r="AI844" s="13">
        <f>-S848*S849</f>
        <v>-2.9441716630039294</v>
      </c>
      <c r="AJ844" s="13"/>
      <c r="AK844" s="13"/>
      <c r="BN844" s="3"/>
    </row>
    <row r="845" spans="2:66" ht="11.25" customHeight="1">
      <c r="B845" s="2"/>
      <c r="C845" s="23">
        <v>3.5</v>
      </c>
      <c r="H845" s="23">
        <v>455</v>
      </c>
      <c r="Q845" s="1" t="s">
        <v>25</v>
      </c>
      <c r="S845" s="13">
        <f>2*(1+S843)+S844</f>
        <v>5.3944453217031834</v>
      </c>
      <c r="T845" s="13"/>
      <c r="AC845" s="24">
        <f>+H845</f>
        <v>455</v>
      </c>
      <c r="AP845" s="13">
        <f>I843*H837-S848*S849</f>
        <v>9.0558283369960701</v>
      </c>
      <c r="AQ845" s="13"/>
      <c r="AR845" s="13"/>
      <c r="BN845" s="3"/>
    </row>
    <row r="846" spans="2:66" ht="11.25" customHeight="1">
      <c r="B846" s="2"/>
      <c r="C846" s="23"/>
      <c r="E846" s="6" t="s">
        <v>0</v>
      </c>
      <c r="H846" s="23"/>
      <c r="Q846" s="1" t="s">
        <v>26</v>
      </c>
      <c r="S846" s="13">
        <f>1+2*S844</f>
        <v>4</v>
      </c>
      <c r="T846" s="13"/>
      <c r="AC846" s="24"/>
      <c r="AT846" s="1" t="s">
        <v>39</v>
      </c>
      <c r="BN846" s="3"/>
    </row>
    <row r="847" spans="2:66" ht="11.25" customHeight="1">
      <c r="B847" s="2"/>
      <c r="C847" s="23"/>
      <c r="E847" s="23">
        <v>2.1</v>
      </c>
      <c r="H847" s="23"/>
      <c r="Q847" s="1" t="s">
        <v>27</v>
      </c>
      <c r="S847" s="13">
        <f>S845+S844*S846</f>
        <v>11.394445321703184</v>
      </c>
      <c r="T847" s="13"/>
      <c r="AC847" s="24"/>
      <c r="BN847" s="3"/>
    </row>
    <row r="848" spans="2:66" ht="11.25" customHeight="1">
      <c r="B848" s="2"/>
      <c r="C848" s="24" t="s">
        <v>1</v>
      </c>
      <c r="E848" s="23"/>
      <c r="H848" s="23"/>
      <c r="Q848" s="5" t="s">
        <v>16</v>
      </c>
      <c r="S848" s="13">
        <f>E847/C845</f>
        <v>0.6</v>
      </c>
      <c r="T848" s="13"/>
      <c r="AC848" s="24"/>
      <c r="BN848" s="3"/>
    </row>
    <row r="849" spans="2:66" ht="11.25" customHeight="1">
      <c r="B849" s="2"/>
      <c r="C849" s="24"/>
      <c r="E849" s="23"/>
      <c r="H849" s="25" t="s">
        <v>4</v>
      </c>
      <c r="Q849" s="1" t="s">
        <v>29</v>
      </c>
      <c r="S849" s="13">
        <f>I843*H837/2*(S845+S846-S843*(3*S848^2-1))/S847</f>
        <v>4.9069527716732155</v>
      </c>
      <c r="T849" s="13"/>
      <c r="AC849" s="25" t="s">
        <v>4</v>
      </c>
      <c r="BN849" s="3"/>
    </row>
    <row r="850" spans="2:66" ht="11.25" customHeight="1">
      <c r="B850" s="2"/>
      <c r="H850" s="24"/>
      <c r="AC850" s="24"/>
      <c r="BN850" s="3"/>
    </row>
    <row r="851" spans="2:66" ht="11.25" customHeight="1">
      <c r="B851" s="2"/>
      <c r="BN851" s="3"/>
    </row>
    <row r="852" spans="2:66" ht="11.25" customHeight="1">
      <c r="B852" s="2"/>
      <c r="D852" s="13">
        <f>S849/C845</f>
        <v>1.4019865061923473</v>
      </c>
      <c r="E852" s="13"/>
      <c r="F852" s="1" t="s">
        <v>8</v>
      </c>
      <c r="AF852" s="13">
        <f>+D852</f>
        <v>1.4019865061923473</v>
      </c>
      <c r="AG852" s="13"/>
      <c r="AH852" s="1" t="s">
        <v>8</v>
      </c>
      <c r="BN852" s="3"/>
    </row>
    <row r="853" spans="2:66" ht="11.25" customHeight="1">
      <c r="B853" s="2"/>
      <c r="BN853" s="3"/>
    </row>
    <row r="854" spans="2:66" ht="11.25" customHeight="1">
      <c r="B854" s="2"/>
      <c r="BN854" s="3"/>
    </row>
    <row r="855" spans="2:66" ht="11.25" customHeight="1">
      <c r="B855" s="2"/>
      <c r="BN855" s="3"/>
    </row>
    <row r="856" spans="2:66" ht="11.25" customHeight="1">
      <c r="B856" s="2"/>
      <c r="G856" s="13">
        <f>I843-AC856</f>
        <v>12.333333333333334</v>
      </c>
      <c r="H856" s="13"/>
      <c r="I856" s="1" t="s">
        <v>8</v>
      </c>
      <c r="AC856" s="13">
        <f>+I843*H837/R858</f>
        <v>2.6666666666666665</v>
      </c>
      <c r="AD856" s="13"/>
      <c r="AE856" s="1" t="s">
        <v>8</v>
      </c>
      <c r="BN856" s="3"/>
    </row>
    <row r="857" spans="2:66" ht="11.25" customHeight="1">
      <c r="B857" s="2"/>
      <c r="BN857" s="3"/>
    </row>
    <row r="858" spans="2:66" ht="11.25" customHeight="1">
      <c r="B858" s="2"/>
      <c r="Q858" s="1" t="s">
        <v>2</v>
      </c>
      <c r="R858" s="26">
        <v>4.5</v>
      </c>
      <c r="S858" s="26"/>
      <c r="T858" s="1" t="s">
        <v>0</v>
      </c>
      <c r="BN858" s="3"/>
    </row>
    <row r="859" spans="2:66" ht="11.25" customHeight="1">
      <c r="B859" s="2"/>
      <c r="BN859" s="3"/>
    </row>
    <row r="860" spans="2:66" ht="11.25" customHeight="1" thickBot="1">
      <c r="B860" s="8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10"/>
    </row>
    <row r="861" spans="2:66" ht="11.25" customHeight="1" thickBot="1"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</row>
    <row r="862" spans="2:66" ht="45.75" customHeight="1">
      <c r="B862" s="29" t="s">
        <v>45</v>
      </c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  <c r="BI862" s="30"/>
      <c r="BJ862" s="30"/>
      <c r="BK862" s="30"/>
      <c r="BL862" s="30"/>
      <c r="BM862" s="30"/>
      <c r="BN862" s="31"/>
    </row>
    <row r="863" spans="2:66" ht="11.25" customHeight="1">
      <c r="B863" s="2"/>
      <c r="AI863" s="4" t="s">
        <v>38</v>
      </c>
      <c r="BN863" s="3"/>
    </row>
    <row r="864" spans="2:66" ht="11.25" customHeight="1">
      <c r="B864" s="2"/>
      <c r="Q864" s="26">
        <v>15</v>
      </c>
      <c r="R864" s="26"/>
      <c r="S864" s="1" t="s">
        <v>5</v>
      </c>
      <c r="BN864" s="3"/>
    </row>
    <row r="865" spans="2:66" ht="11.25" customHeight="1">
      <c r="B865" s="2"/>
      <c r="AP865" s="13">
        <f>R889/4+(AU869-AK868)/(Q864*R889/2)</f>
        <v>1.8208277731095022</v>
      </c>
      <c r="AQ865" s="13"/>
      <c r="AR865" s="1" t="s">
        <v>0</v>
      </c>
      <c r="BD865" s="13">
        <f>+AP865</f>
        <v>1.8208277731095022</v>
      </c>
      <c r="BE865" s="13"/>
      <c r="BF865" s="1" t="s">
        <v>0</v>
      </c>
      <c r="BN865" s="3"/>
    </row>
    <row r="866" spans="2:66" ht="11.25" customHeight="1">
      <c r="B866" s="2"/>
      <c r="BN866" s="3"/>
    </row>
    <row r="867" spans="2:66" ht="11.25" customHeight="1">
      <c r="B867" s="2"/>
      <c r="C867" s="6" t="s">
        <v>0</v>
      </c>
      <c r="BN867" s="3"/>
    </row>
    <row r="868" spans="2:66" ht="11.25" customHeight="1">
      <c r="B868" s="2"/>
      <c r="C868" s="23">
        <v>1.75</v>
      </c>
      <c r="AK868" s="13">
        <f>-Q864*R889^2/16*(S874*(16+15*S873)+S873^2)/S881</f>
        <v>-16.325983305412009</v>
      </c>
      <c r="AL868" s="13"/>
      <c r="AM868" s="13"/>
      <c r="BI868" s="13">
        <f>+AK868</f>
        <v>-16.325983305412009</v>
      </c>
      <c r="BJ868" s="13"/>
      <c r="BK868" s="13"/>
      <c r="BN868" s="3"/>
    </row>
    <row r="869" spans="2:66" ht="11.25" customHeight="1">
      <c r="B869" s="2"/>
      <c r="C869" s="23"/>
      <c r="AU869" s="13">
        <f>+Q864*R889^2/8-S873*AP884+S875*AK868</f>
        <v>7.1582040370336841</v>
      </c>
      <c r="AV869" s="13"/>
      <c r="AW869" s="13"/>
      <c r="AX869" s="13">
        <f>+AU869</f>
        <v>7.1582040370336841</v>
      </c>
      <c r="AY869" s="13"/>
      <c r="AZ869" s="13"/>
      <c r="BN869" s="3"/>
    </row>
    <row r="870" spans="2:66" ht="11.25" customHeight="1">
      <c r="B870" s="2"/>
      <c r="C870" s="23"/>
      <c r="L870" s="5" t="s">
        <v>4</v>
      </c>
      <c r="M870" s="26">
        <v>351</v>
      </c>
      <c r="N870" s="26"/>
      <c r="O870" s="26"/>
      <c r="P870" s="1" t="s">
        <v>3</v>
      </c>
      <c r="U870" s="5" t="s">
        <v>4</v>
      </c>
      <c r="V870" s="13">
        <f>+M870</f>
        <v>351</v>
      </c>
      <c r="W870" s="13"/>
      <c r="X870" s="13"/>
      <c r="Y870" s="1" t="s">
        <v>3</v>
      </c>
      <c r="BN870" s="3"/>
    </row>
    <row r="871" spans="2:66" ht="11.25" customHeight="1">
      <c r="B871" s="2"/>
      <c r="AI871" s="13">
        <f>+AK868</f>
        <v>-16.325983305412009</v>
      </c>
      <c r="AJ871" s="13"/>
      <c r="AK871" s="13"/>
      <c r="BK871" s="13">
        <f>+AI871</f>
        <v>-16.325983305412009</v>
      </c>
      <c r="BL871" s="13"/>
      <c r="BM871" s="13"/>
      <c r="BN871" s="3"/>
    </row>
    <row r="872" spans="2:66" ht="11.25" customHeight="1">
      <c r="B872" s="2"/>
      <c r="Q872" s="1" t="s">
        <v>28</v>
      </c>
      <c r="S872" s="13">
        <f>SQRT(C868^2+(R889/2)^2)</f>
        <v>2.8504385627478448</v>
      </c>
      <c r="T872" s="13"/>
      <c r="BN872" s="3"/>
    </row>
    <row r="873" spans="2:66" ht="11.25" customHeight="1">
      <c r="B873" s="2"/>
      <c r="Q873" s="7" t="s">
        <v>30</v>
      </c>
      <c r="S873" s="13">
        <f>C868/C876</f>
        <v>0.5</v>
      </c>
      <c r="T873" s="13"/>
      <c r="AT873" s="13">
        <f>Q864*AP865*(R889/2-AP865)/2+(R889/2-AP865)/(R889/2)*AK868+AP865/(R889/2)*AU869</f>
        <v>8.5396200395398019</v>
      </c>
      <c r="AU873" s="13"/>
      <c r="AV873" s="13"/>
      <c r="AY873" s="13">
        <f>+AT873</f>
        <v>8.5396200395398019</v>
      </c>
      <c r="AZ873" s="13"/>
      <c r="BA873" s="13"/>
      <c r="BN873" s="3"/>
    </row>
    <row r="874" spans="2:66" ht="11.25" customHeight="1">
      <c r="B874" s="2"/>
      <c r="H874" s="24" t="s">
        <v>3</v>
      </c>
      <c r="Q874" s="1" t="s">
        <v>14</v>
      </c>
      <c r="S874" s="13">
        <f>M870/H876*C876/S872</f>
        <v>0.94722266085159168</v>
      </c>
      <c r="T874" s="13"/>
      <c r="AC874" s="24" t="s">
        <v>3</v>
      </c>
      <c r="BN874" s="3"/>
    </row>
    <row r="875" spans="2:66" ht="11.25" customHeight="1">
      <c r="B875" s="2"/>
      <c r="C875" s="6" t="s">
        <v>0</v>
      </c>
      <c r="H875" s="24"/>
      <c r="Q875" s="1" t="s">
        <v>31</v>
      </c>
      <c r="S875" s="13">
        <f>1+S873</f>
        <v>1.5</v>
      </c>
      <c r="T875" s="13"/>
      <c r="AC875" s="24"/>
      <c r="BN875" s="3"/>
    </row>
    <row r="876" spans="2:66" ht="11.25" customHeight="1">
      <c r="B876" s="2"/>
      <c r="C876" s="23">
        <v>3.5</v>
      </c>
      <c r="H876" s="23">
        <v>455</v>
      </c>
      <c r="Q876" s="1" t="s">
        <v>25</v>
      </c>
      <c r="S876" s="13">
        <f>(2+3*S874)</f>
        <v>4.8416679825547746</v>
      </c>
      <c r="T876" s="13"/>
      <c r="AC876" s="24">
        <f>+H876</f>
        <v>455</v>
      </c>
      <c r="AT876" s="1" t="s">
        <v>39</v>
      </c>
      <c r="BN876" s="3"/>
    </row>
    <row r="877" spans="2:66" ht="11.25" customHeight="1">
      <c r="B877" s="2"/>
      <c r="C877" s="23"/>
      <c r="H877" s="23"/>
      <c r="Q877" s="1" t="s">
        <v>26</v>
      </c>
      <c r="S877" s="13">
        <f>1+2*S875</f>
        <v>4</v>
      </c>
      <c r="T877" s="13"/>
      <c r="AC877" s="24"/>
      <c r="BN877" s="3"/>
    </row>
    <row r="878" spans="2:66" ht="11.25" customHeight="1">
      <c r="B878" s="2"/>
      <c r="C878" s="23"/>
      <c r="H878" s="23"/>
      <c r="Q878" s="1" t="s">
        <v>32</v>
      </c>
      <c r="S878" s="13">
        <f>2*(1+S874+S875+S875^2)</f>
        <v>11.394445321703184</v>
      </c>
      <c r="T878" s="13"/>
      <c r="AC878" s="24"/>
      <c r="BN878" s="3"/>
    </row>
    <row r="879" spans="2:66" ht="11.25" customHeight="1">
      <c r="B879" s="2"/>
      <c r="C879" s="24" t="s">
        <v>1</v>
      </c>
      <c r="H879" s="23"/>
      <c r="Q879" s="1" t="s">
        <v>33</v>
      </c>
      <c r="S879" s="13">
        <f>2*(S874+S873^2)</f>
        <v>2.3944453217031834</v>
      </c>
      <c r="T879" s="13"/>
      <c r="AC879" s="24"/>
      <c r="BN879" s="3"/>
    </row>
    <row r="880" spans="2:66" ht="11.25" customHeight="1">
      <c r="B880" s="2"/>
      <c r="C880" s="24"/>
      <c r="H880" s="25" t="s">
        <v>4</v>
      </c>
      <c r="Q880" s="1" t="s">
        <v>34</v>
      </c>
      <c r="S880" s="13">
        <f>S873*S877-S874</f>
        <v>1.0527773391484083</v>
      </c>
      <c r="T880" s="13"/>
      <c r="AC880" s="25" t="s">
        <v>4</v>
      </c>
      <c r="BN880" s="3"/>
    </row>
    <row r="881" spans="2:66" ht="11.25" customHeight="1">
      <c r="B881" s="2"/>
      <c r="H881" s="24"/>
      <c r="Q881" s="1" t="s">
        <v>12</v>
      </c>
      <c r="S881" s="13">
        <f>S878*S879-S880^2</f>
        <v>26.175036168130511</v>
      </c>
      <c r="T881" s="13"/>
      <c r="AC881" s="24"/>
      <c r="BN881" s="3"/>
    </row>
    <row r="882" spans="2:66" ht="11.25" customHeight="1">
      <c r="B882" s="2"/>
      <c r="Q882" s="1" t="s">
        <v>13</v>
      </c>
      <c r="S882" s="13">
        <f>3*S874+S876</f>
        <v>7.6833359651095492</v>
      </c>
      <c r="T882" s="13"/>
      <c r="BN882" s="3"/>
    </row>
    <row r="883" spans="2:66" ht="11.25" customHeight="1">
      <c r="B883" s="2"/>
      <c r="D883" s="13">
        <f>(AP884-AI871)/C876</f>
        <v>8.2768929471738879</v>
      </c>
      <c r="E883" s="13"/>
      <c r="F883" s="1" t="s">
        <v>8</v>
      </c>
      <c r="AF883" s="13">
        <f>+D883</f>
        <v>8.2768929471738879</v>
      </c>
      <c r="AG883" s="13"/>
      <c r="AH883" s="1" t="s">
        <v>8</v>
      </c>
      <c r="BN883" s="3"/>
    </row>
    <row r="884" spans="2:66" ht="11.25" customHeight="1">
      <c r="B884" s="2"/>
      <c r="AP884" s="13">
        <f>Q864*R889^2/16*(S874*(8+15*S873)+S873*(6-S873))/S881</f>
        <v>12.6431420096966</v>
      </c>
      <c r="AQ884" s="13"/>
      <c r="AR884" s="13"/>
      <c r="BD884" s="13">
        <f>+AP884</f>
        <v>12.6431420096966</v>
      </c>
      <c r="BE884" s="13"/>
      <c r="BF884" s="13"/>
      <c r="BN884" s="3"/>
    </row>
    <row r="885" spans="2:66" ht="11.25" customHeight="1">
      <c r="B885" s="2"/>
      <c r="D885" s="13">
        <f>+AP884</f>
        <v>12.6431420096966</v>
      </c>
      <c r="E885" s="13"/>
      <c r="F885" s="1" t="s">
        <v>11</v>
      </c>
      <c r="AE885" s="13">
        <f>+BD884</f>
        <v>12.6431420096966</v>
      </c>
      <c r="AF885" s="13"/>
      <c r="AG885" s="1" t="s">
        <v>11</v>
      </c>
      <c r="BN885" s="3"/>
    </row>
    <row r="886" spans="2:66" ht="11.25" customHeight="1">
      <c r="B886" s="2"/>
      <c r="BN886" s="3"/>
    </row>
    <row r="887" spans="2:66" ht="11.25" customHeight="1">
      <c r="B887" s="2"/>
      <c r="G887" s="13">
        <f>Q864*R889/2</f>
        <v>33.75</v>
      </c>
      <c r="H887" s="13"/>
      <c r="I887" s="1" t="s">
        <v>8</v>
      </c>
      <c r="AC887" s="13">
        <f>+G887</f>
        <v>33.75</v>
      </c>
      <c r="AD887" s="13"/>
      <c r="AE887" s="1" t="s">
        <v>8</v>
      </c>
      <c r="BN887" s="3"/>
    </row>
    <row r="888" spans="2:66" ht="11.25" customHeight="1">
      <c r="B888" s="2"/>
      <c r="BN888" s="3"/>
    </row>
    <row r="889" spans="2:66" ht="11.25" customHeight="1">
      <c r="B889" s="2"/>
      <c r="Q889" s="1" t="s">
        <v>2</v>
      </c>
      <c r="R889" s="26">
        <v>4.5</v>
      </c>
      <c r="S889" s="26"/>
      <c r="T889" s="1" t="s">
        <v>0</v>
      </c>
      <c r="BN889" s="3"/>
    </row>
    <row r="890" spans="2:66" ht="11.25" customHeight="1">
      <c r="B890" s="2"/>
      <c r="BN890" s="3"/>
    </row>
    <row r="891" spans="2:66" ht="11.25" customHeight="1">
      <c r="B891" s="2"/>
      <c r="BN891" s="3"/>
    </row>
    <row r="892" spans="2:66" ht="11.25" customHeight="1">
      <c r="B892" s="2"/>
      <c r="R892" s="26">
        <v>15</v>
      </c>
      <c r="S892" s="26"/>
      <c r="T892" s="1" t="s">
        <v>8</v>
      </c>
      <c r="BN892" s="3"/>
    </row>
    <row r="893" spans="2:66" ht="11.25" customHeight="1">
      <c r="B893" s="2"/>
      <c r="BN893" s="3"/>
    </row>
    <row r="894" spans="2:66" ht="11.25" customHeight="1">
      <c r="B894" s="2"/>
      <c r="BN894" s="3"/>
    </row>
    <row r="895" spans="2:66" ht="11.25" customHeight="1">
      <c r="B895" s="2"/>
      <c r="BN895" s="3"/>
    </row>
    <row r="896" spans="2:66" ht="11.25" customHeight="1">
      <c r="B896" s="2"/>
      <c r="C896" s="6" t="s">
        <v>0</v>
      </c>
      <c r="BN896" s="3"/>
    </row>
    <row r="897" spans="2:66" ht="11.25" customHeight="1">
      <c r="B897" s="2"/>
      <c r="C897" s="23">
        <v>1.75</v>
      </c>
      <c r="AK897" s="13">
        <f>-3*R892*R918*S903*S904/(2*S910)</f>
        <v>-5.496055122628329</v>
      </c>
      <c r="AL897" s="13"/>
      <c r="AM897" s="13"/>
      <c r="BI897" s="13">
        <f>+AK897</f>
        <v>-5.496055122628329</v>
      </c>
      <c r="BJ897" s="13"/>
      <c r="BK897" s="13"/>
      <c r="BN897" s="3"/>
    </row>
    <row r="898" spans="2:66" ht="11.25" customHeight="1">
      <c r="B898" s="2"/>
      <c r="C898" s="23"/>
      <c r="AU898" s="13">
        <f>R892*R918/4-S902*AP913+S904*AI900</f>
        <v>6.3153752546712845</v>
      </c>
      <c r="AV898" s="13"/>
      <c r="AW898" s="13"/>
      <c r="AX898" s="13">
        <f>+AU898</f>
        <v>6.3153752546712845</v>
      </c>
      <c r="AY898" s="13"/>
      <c r="AZ898" s="13"/>
      <c r="BN898" s="3"/>
    </row>
    <row r="899" spans="2:66" ht="11.25" customHeight="1">
      <c r="B899" s="2"/>
      <c r="C899" s="23"/>
      <c r="L899" s="5" t="s">
        <v>4</v>
      </c>
      <c r="M899" s="26">
        <v>351</v>
      </c>
      <c r="N899" s="26"/>
      <c r="O899" s="26"/>
      <c r="P899" s="1" t="s">
        <v>3</v>
      </c>
      <c r="U899" s="5" t="s">
        <v>4</v>
      </c>
      <c r="V899" s="13">
        <f>+M899</f>
        <v>351</v>
      </c>
      <c r="W899" s="13"/>
      <c r="X899" s="13"/>
      <c r="Y899" s="1" t="s">
        <v>3</v>
      </c>
      <c r="BN899" s="3"/>
    </row>
    <row r="900" spans="2:66" ht="11.25" customHeight="1">
      <c r="B900" s="2"/>
      <c r="AI900" s="13">
        <f>+AK897</f>
        <v>-5.496055122628329</v>
      </c>
      <c r="AJ900" s="13"/>
      <c r="AK900" s="13"/>
      <c r="BK900" s="13">
        <f>+AI900</f>
        <v>-5.496055122628329</v>
      </c>
      <c r="BL900" s="13"/>
      <c r="BM900" s="13"/>
      <c r="BN900" s="3"/>
    </row>
    <row r="901" spans="2:66" ht="11.25" customHeight="1">
      <c r="B901" s="2"/>
      <c r="Q901" s="1" t="s">
        <v>28</v>
      </c>
      <c r="S901" s="13">
        <f>SQRT(C897^2+(R918/2)^2)</f>
        <v>2.8504385627478448</v>
      </c>
      <c r="T901" s="13"/>
      <c r="BN901" s="3"/>
    </row>
    <row r="902" spans="2:66" ht="11.25" customHeight="1">
      <c r="B902" s="2"/>
      <c r="Q902" s="7" t="s">
        <v>30</v>
      </c>
      <c r="S902" s="13">
        <f>C897/C905</f>
        <v>0.5</v>
      </c>
      <c r="T902" s="13"/>
      <c r="BN902" s="3"/>
    </row>
    <row r="903" spans="2:66" ht="11.25" customHeight="1">
      <c r="B903" s="2"/>
      <c r="H903" s="24" t="s">
        <v>3</v>
      </c>
      <c r="Q903" s="1" t="s">
        <v>14</v>
      </c>
      <c r="S903" s="13">
        <f>M899/H905*C905/S901</f>
        <v>0.94722266085159168</v>
      </c>
      <c r="T903" s="13"/>
      <c r="AC903" s="24" t="s">
        <v>3</v>
      </c>
      <c r="BN903" s="3"/>
    </row>
    <row r="904" spans="2:66" ht="11.25" customHeight="1">
      <c r="B904" s="2"/>
      <c r="C904" s="6" t="s">
        <v>0</v>
      </c>
      <c r="H904" s="24"/>
      <c r="Q904" s="1" t="s">
        <v>31</v>
      </c>
      <c r="S904" s="13">
        <f>1+S902</f>
        <v>1.5</v>
      </c>
      <c r="T904" s="13"/>
      <c r="AC904" s="24"/>
      <c r="BN904" s="3"/>
    </row>
    <row r="905" spans="2:66" ht="11.25" customHeight="1">
      <c r="B905" s="2"/>
      <c r="C905" s="23">
        <v>3.5</v>
      </c>
      <c r="H905" s="23">
        <v>455</v>
      </c>
      <c r="Q905" s="1" t="s">
        <v>25</v>
      </c>
      <c r="S905" s="13">
        <f>(2+3*S903)</f>
        <v>4.8416679825547746</v>
      </c>
      <c r="T905" s="13"/>
      <c r="AC905" s="24">
        <f>+H905</f>
        <v>455</v>
      </c>
      <c r="AT905" s="1" t="s">
        <v>39</v>
      </c>
      <c r="BN905" s="3"/>
    </row>
    <row r="906" spans="2:66" ht="11.25" customHeight="1">
      <c r="B906" s="2"/>
      <c r="C906" s="23"/>
      <c r="H906" s="23"/>
      <c r="Q906" s="1" t="s">
        <v>26</v>
      </c>
      <c r="S906" s="13">
        <f>1+2*S904</f>
        <v>4</v>
      </c>
      <c r="T906" s="13"/>
      <c r="AC906" s="24"/>
      <c r="BN906" s="3"/>
    </row>
    <row r="907" spans="2:66" ht="11.25" customHeight="1">
      <c r="B907" s="2"/>
      <c r="C907" s="23"/>
      <c r="H907" s="23"/>
      <c r="Q907" s="1" t="s">
        <v>32</v>
      </c>
      <c r="S907" s="13">
        <f>2*(1+S903+S904+S904^2)</f>
        <v>11.394445321703184</v>
      </c>
      <c r="T907" s="13"/>
      <c r="AC907" s="24"/>
      <c r="BN907" s="3"/>
    </row>
    <row r="908" spans="2:66" ht="11.25" customHeight="1">
      <c r="B908" s="2"/>
      <c r="C908" s="24" t="s">
        <v>1</v>
      </c>
      <c r="H908" s="23"/>
      <c r="Q908" s="1" t="s">
        <v>33</v>
      </c>
      <c r="S908" s="13">
        <f>2*(S903+S902^2)</f>
        <v>2.3944453217031834</v>
      </c>
      <c r="T908" s="13"/>
      <c r="AC908" s="24"/>
      <c r="BN908" s="3"/>
    </row>
    <row r="909" spans="2:66" ht="11.25" customHeight="1">
      <c r="B909" s="2"/>
      <c r="C909" s="24"/>
      <c r="H909" s="25" t="s">
        <v>4</v>
      </c>
      <c r="Q909" s="1" t="s">
        <v>34</v>
      </c>
      <c r="S909" s="13">
        <f>S902*S906-S903</f>
        <v>1.0527773391484083</v>
      </c>
      <c r="T909" s="13"/>
      <c r="AC909" s="25" t="s">
        <v>4</v>
      </c>
      <c r="BN909" s="3"/>
    </row>
    <row r="910" spans="2:66" ht="11.25" customHeight="1">
      <c r="B910" s="2"/>
      <c r="H910" s="24"/>
      <c r="Q910" s="1" t="s">
        <v>12</v>
      </c>
      <c r="S910" s="13">
        <f>S907*S908-S909^2</f>
        <v>26.175036168130511</v>
      </c>
      <c r="T910" s="13"/>
      <c r="AC910" s="24"/>
      <c r="BN910" s="3"/>
    </row>
    <row r="911" spans="2:66" ht="11.25" customHeight="1">
      <c r="B911" s="2"/>
      <c r="Q911" s="1" t="s">
        <v>13</v>
      </c>
      <c r="S911" s="13">
        <f>3*S903+S905</f>
        <v>7.6833359651095492</v>
      </c>
      <c r="T911" s="13"/>
      <c r="BN911" s="3"/>
    </row>
    <row r="912" spans="2:66" ht="11.25" customHeight="1">
      <c r="B912" s="2"/>
      <c r="D912" s="13">
        <f>(AP913-AI900)/C905</f>
        <v>2.8934683558287921</v>
      </c>
      <c r="E912" s="13"/>
      <c r="F912" s="1" t="s">
        <v>8</v>
      </c>
      <c r="AF912" s="13">
        <f>+D912</f>
        <v>2.8934683558287921</v>
      </c>
      <c r="AG912" s="13"/>
      <c r="AH912" s="1" t="s">
        <v>8</v>
      </c>
      <c r="BN912" s="3"/>
    </row>
    <row r="913" spans="2:66" ht="11.25" customHeight="1">
      <c r="B913" s="2"/>
      <c r="AP913" s="13">
        <f>3*R892*R918*(S903+2*S903*S902+S902)/(4*S910)</f>
        <v>4.6310841227724433</v>
      </c>
      <c r="AQ913" s="13"/>
      <c r="AR913" s="13"/>
      <c r="BD913" s="13">
        <f>+AP913</f>
        <v>4.6310841227724433</v>
      </c>
      <c r="BE913" s="13"/>
      <c r="BF913" s="13"/>
      <c r="BN913" s="3"/>
    </row>
    <row r="914" spans="2:66" ht="11.25" customHeight="1">
      <c r="B914" s="2"/>
      <c r="D914" s="13">
        <f>+AP913</f>
        <v>4.6310841227724433</v>
      </c>
      <c r="E914" s="13"/>
      <c r="F914" s="1" t="s">
        <v>11</v>
      </c>
      <c r="AE914" s="13">
        <f>+BD913</f>
        <v>4.6310841227724433</v>
      </c>
      <c r="AF914" s="13"/>
      <c r="AG914" s="1" t="s">
        <v>11</v>
      </c>
      <c r="BN914" s="3"/>
    </row>
    <row r="915" spans="2:66" ht="11.25" customHeight="1">
      <c r="B915" s="2"/>
      <c r="BN915" s="3"/>
    </row>
    <row r="916" spans="2:66" ht="11.25" customHeight="1">
      <c r="B916" s="2"/>
      <c r="G916" s="13">
        <f>R892/2</f>
        <v>7.5</v>
      </c>
      <c r="H916" s="13"/>
      <c r="I916" s="1" t="s">
        <v>8</v>
      </c>
      <c r="AC916" s="13">
        <f>+G916</f>
        <v>7.5</v>
      </c>
      <c r="AD916" s="13"/>
      <c r="AE916" s="1" t="s">
        <v>8</v>
      </c>
      <c r="BN916" s="3"/>
    </row>
    <row r="917" spans="2:66" ht="11.25" customHeight="1">
      <c r="B917" s="2"/>
      <c r="BN917" s="3"/>
    </row>
    <row r="918" spans="2:66" ht="11.25" customHeight="1">
      <c r="B918" s="2"/>
      <c r="Q918" s="1" t="s">
        <v>2</v>
      </c>
      <c r="R918" s="26">
        <v>4.5</v>
      </c>
      <c r="S918" s="26"/>
      <c r="T918" s="1" t="s">
        <v>0</v>
      </c>
      <c r="BN918" s="3"/>
    </row>
    <row r="919" spans="2:66" ht="11.25" customHeight="1">
      <c r="B919" s="2"/>
      <c r="BN919" s="3"/>
    </row>
    <row r="920" spans="2:66" ht="11.25" customHeight="1">
      <c r="B920" s="2"/>
      <c r="AU920" s="13">
        <f>-E933*C932*C924/4+S929*S939+S931*S940</f>
        <v>-7.72086572594805</v>
      </c>
      <c r="AV920" s="13"/>
      <c r="AW920" s="13"/>
      <c r="AX920" s="13">
        <f>+AU920</f>
        <v>-7.72086572594805</v>
      </c>
      <c r="AY920" s="13"/>
      <c r="AZ920" s="13"/>
      <c r="BN920" s="3"/>
    </row>
    <row r="921" spans="2:66" ht="11.25" customHeight="1">
      <c r="B921" s="2"/>
      <c r="BN921" s="3"/>
    </row>
    <row r="922" spans="2:66" ht="11.25" customHeight="1">
      <c r="B922" s="2"/>
      <c r="BN922" s="3"/>
    </row>
    <row r="923" spans="2:66" ht="11.25" customHeight="1">
      <c r="B923" s="2"/>
      <c r="C923" s="6" t="s">
        <v>0</v>
      </c>
      <c r="BI923" s="13">
        <f>+BK927</f>
        <v>-6.7111685970068136</v>
      </c>
      <c r="BJ923" s="13"/>
      <c r="BK923" s="13"/>
      <c r="BN923" s="3"/>
    </row>
    <row r="924" spans="2:66" ht="11.25" customHeight="1">
      <c r="B924" s="2"/>
      <c r="C924" s="23">
        <v>1.75</v>
      </c>
      <c r="BN924" s="3"/>
    </row>
    <row r="925" spans="2:66" ht="11.25" customHeight="1">
      <c r="B925" s="2"/>
      <c r="C925" s="23"/>
      <c r="BN925" s="3"/>
    </row>
    <row r="926" spans="2:66" ht="11.25" customHeight="1">
      <c r="B926" s="2"/>
      <c r="C926" s="23"/>
      <c r="L926" s="5" t="s">
        <v>4</v>
      </c>
      <c r="M926" s="26">
        <v>351</v>
      </c>
      <c r="N926" s="26"/>
      <c r="O926" s="26"/>
      <c r="P926" s="1" t="s">
        <v>3</v>
      </c>
      <c r="U926" s="5" t="s">
        <v>4</v>
      </c>
      <c r="V926" s="13">
        <f>+M926</f>
        <v>351</v>
      </c>
      <c r="W926" s="13"/>
      <c r="X926" s="13"/>
      <c r="Y926" s="1" t="s">
        <v>3</v>
      </c>
      <c r="BN926" s="3"/>
    </row>
    <row r="927" spans="2:66" ht="11.25" customHeight="1">
      <c r="B927" s="2"/>
      <c r="AO927" s="13">
        <f>S940+(E933*C932^2/4-S941)</f>
        <v>15.942033699737767</v>
      </c>
      <c r="AP927" s="13"/>
      <c r="AQ927" s="13"/>
      <c r="BK927" s="13">
        <f>S940-(E933*C932^2/4-S941)</f>
        <v>-6.7111685970068136</v>
      </c>
      <c r="BL927" s="13"/>
      <c r="BM927" s="13"/>
      <c r="BN927" s="3"/>
    </row>
    <row r="928" spans="2:66" ht="11.25" customHeight="1">
      <c r="B928" s="2"/>
      <c r="Q928" s="1" t="s">
        <v>28</v>
      </c>
      <c r="S928" s="13">
        <f>SQRT(C924^2+(R945/2)^2)</f>
        <v>2.8504385627478448</v>
      </c>
      <c r="T928" s="13"/>
      <c r="BN928" s="3"/>
    </row>
    <row r="929" spans="2:66" ht="11.25" customHeight="1">
      <c r="B929" s="2"/>
      <c r="Q929" s="7" t="s">
        <v>30</v>
      </c>
      <c r="S929" s="13">
        <f>C924/C932</f>
        <v>0.5</v>
      </c>
      <c r="T929" s="13"/>
      <c r="BN929" s="3"/>
    </row>
    <row r="930" spans="2:66" ht="11.25" customHeight="1">
      <c r="B930" s="2"/>
      <c r="E930" s="24" t="s">
        <v>5</v>
      </c>
      <c r="H930" s="24" t="s">
        <v>3</v>
      </c>
      <c r="Q930" s="1" t="s">
        <v>14</v>
      </c>
      <c r="S930" s="13">
        <f>M926/H932*C932/S928</f>
        <v>0.94722266085159168</v>
      </c>
      <c r="T930" s="13"/>
      <c r="AC930" s="24" t="s">
        <v>3</v>
      </c>
      <c r="BN930" s="3"/>
    </row>
    <row r="931" spans="2:66" ht="11.25" customHeight="1">
      <c r="B931" s="2"/>
      <c r="C931" s="6" t="s">
        <v>0</v>
      </c>
      <c r="E931" s="24"/>
      <c r="H931" s="24"/>
      <c r="Q931" s="1" t="s">
        <v>31</v>
      </c>
      <c r="S931" s="13">
        <f>1+S929</f>
        <v>1.5</v>
      </c>
      <c r="T931" s="13"/>
      <c r="AC931" s="24"/>
      <c r="AM931" s="13">
        <f>+AO927</f>
        <v>15.942033699737767</v>
      </c>
      <c r="AN931" s="13"/>
      <c r="AO931" s="13"/>
      <c r="BN931" s="3"/>
    </row>
    <row r="932" spans="2:66" ht="11.25" customHeight="1">
      <c r="B932" s="2"/>
      <c r="C932" s="23">
        <v>3.5</v>
      </c>
      <c r="E932" s="24"/>
      <c r="H932" s="23">
        <v>455</v>
      </c>
      <c r="Q932" s="1" t="s">
        <v>25</v>
      </c>
      <c r="S932" s="13">
        <f>(2+3*S930)</f>
        <v>4.8416679825547746</v>
      </c>
      <c r="T932" s="13"/>
      <c r="AC932" s="24">
        <f>+H932</f>
        <v>455</v>
      </c>
      <c r="AT932" s="1" t="s">
        <v>39</v>
      </c>
      <c r="BN932" s="3"/>
    </row>
    <row r="933" spans="2:66" ht="11.25" customHeight="1">
      <c r="B933" s="2"/>
      <c r="C933" s="23"/>
      <c r="E933" s="23">
        <v>15</v>
      </c>
      <c r="H933" s="23"/>
      <c r="Q933" s="1" t="s">
        <v>26</v>
      </c>
      <c r="S933" s="13">
        <f>1+2*S931</f>
        <v>4</v>
      </c>
      <c r="T933" s="13"/>
      <c r="AC933" s="24"/>
      <c r="BN933" s="3"/>
    </row>
    <row r="934" spans="2:66" ht="11.25" customHeight="1">
      <c r="B934" s="2"/>
      <c r="C934" s="23"/>
      <c r="E934" s="23"/>
      <c r="H934" s="23"/>
      <c r="Q934" s="1" t="s">
        <v>32</v>
      </c>
      <c r="S934" s="13">
        <f>2*(1+S930+S931+S931^2)</f>
        <v>11.394445321703184</v>
      </c>
      <c r="T934" s="13"/>
      <c r="AC934" s="24"/>
      <c r="BN934" s="3"/>
    </row>
    <row r="935" spans="2:66" ht="11.25" customHeight="1">
      <c r="B935" s="2"/>
      <c r="C935" s="24" t="s">
        <v>1</v>
      </c>
      <c r="E935" s="23"/>
      <c r="H935" s="23"/>
      <c r="Q935" s="1" t="s">
        <v>33</v>
      </c>
      <c r="S935" s="13">
        <f>2*(S930+S929^2)</f>
        <v>2.3944453217031834</v>
      </c>
      <c r="T935" s="13"/>
      <c r="AC935" s="24"/>
      <c r="BN935" s="3"/>
    </row>
    <row r="936" spans="2:66" ht="11.25" customHeight="1">
      <c r="B936" s="2"/>
      <c r="C936" s="24"/>
      <c r="H936" s="25" t="s">
        <v>4</v>
      </c>
      <c r="Q936" s="1" t="s">
        <v>34</v>
      </c>
      <c r="S936" s="13">
        <f>S929*S933-S930</f>
        <v>1.0527773391484083</v>
      </c>
      <c r="T936" s="13"/>
      <c r="AC936" s="25" t="s">
        <v>4</v>
      </c>
      <c r="BN936" s="3"/>
    </row>
    <row r="937" spans="2:66" ht="11.25" customHeight="1">
      <c r="B937" s="2"/>
      <c r="H937" s="24"/>
      <c r="Q937" s="1" t="s">
        <v>12</v>
      </c>
      <c r="S937" s="13">
        <f>S934*S935-S936^2</f>
        <v>26.175036168130511</v>
      </c>
      <c r="T937" s="13"/>
      <c r="AC937" s="24"/>
      <c r="BN937" s="3"/>
    </row>
    <row r="938" spans="2:66" ht="11.25" customHeight="1">
      <c r="B938" s="2"/>
      <c r="Q938" s="1" t="s">
        <v>13</v>
      </c>
      <c r="S938" s="13">
        <f>3*S930+S932</f>
        <v>7.6833359651095492</v>
      </c>
      <c r="T938" s="13"/>
      <c r="BN938" s="3"/>
    </row>
    <row r="939" spans="2:66" ht="11.25" customHeight="1">
      <c r="B939" s="2"/>
      <c r="J939" s="13">
        <f>(E933*C932-AF939)</f>
        <v>32.325686698677984</v>
      </c>
      <c r="K939" s="13"/>
      <c r="L939" s="1" t="s">
        <v>8</v>
      </c>
      <c r="Q939" s="1" t="s">
        <v>35</v>
      </c>
      <c r="S939" s="13">
        <f>E933*C932^2/8*(S930*(6+S930)+S930*S929*(15+16*S929)+6*S929^2)/S937</f>
        <v>16.649470894007468</v>
      </c>
      <c r="T939" s="13"/>
      <c r="AF939" s="13">
        <f>E933*C932/2-(S939+S940)/C932</f>
        <v>20.174313301322016</v>
      </c>
      <c r="AG939" s="13"/>
      <c r="AH939" s="1" t="s">
        <v>8</v>
      </c>
      <c r="BN939" s="3"/>
    </row>
    <row r="940" spans="2:66" ht="11.25" customHeight="1">
      <c r="B940" s="2"/>
      <c r="Q940" s="1" t="s">
        <v>36</v>
      </c>
      <c r="S940" s="13">
        <f>E933*C932^2*S930*(9*S929+8*S929^2-S930)/(8*S937)</f>
        <v>4.615432551365477</v>
      </c>
      <c r="T940" s="13"/>
      <c r="AI940" s="13">
        <f>-S939-S941</f>
        <v>-51.260369745635174</v>
      </c>
      <c r="AJ940" s="13"/>
      <c r="AK940" s="13"/>
      <c r="BD940" s="13">
        <f>-S939+S941</f>
        <v>17.961427957620241</v>
      </c>
      <c r="BE940" s="13"/>
      <c r="BF940" s="13"/>
      <c r="BN940" s="3"/>
    </row>
    <row r="941" spans="2:66" ht="11.25" customHeight="1">
      <c r="B941" s="2"/>
      <c r="I941" s="13">
        <f>-AI940</f>
        <v>51.260369745635174</v>
      </c>
      <c r="J941" s="13"/>
      <c r="K941" s="1" t="s">
        <v>11</v>
      </c>
      <c r="Q941" s="1" t="s">
        <v>37</v>
      </c>
      <c r="S941" s="13">
        <f>E933*C932^2*(1+2*S930)/(2*S938)</f>
        <v>34.610898851627709</v>
      </c>
      <c r="T941" s="13"/>
      <c r="AE941" s="13">
        <f>+BD940</f>
        <v>17.961427957620241</v>
      </c>
      <c r="AF941" s="13"/>
      <c r="AG941" s="1" t="s">
        <v>11</v>
      </c>
      <c r="BN941" s="3"/>
    </row>
    <row r="942" spans="2:66" ht="11.25" customHeight="1">
      <c r="B942" s="2"/>
      <c r="BN942" s="3"/>
    </row>
    <row r="943" spans="2:66" ht="11.25" customHeight="1">
      <c r="B943" s="2"/>
      <c r="G943" s="13">
        <f>-(-E933*C932^2/(2*R945)+2*S941/R945)</f>
        <v>5.0340449548321295</v>
      </c>
      <c r="H943" s="13"/>
      <c r="I943" s="1" t="s">
        <v>8</v>
      </c>
      <c r="AC943" s="13">
        <f>+G943</f>
        <v>5.0340449548321295</v>
      </c>
      <c r="AD943" s="13"/>
      <c r="AE943" s="1" t="s">
        <v>8</v>
      </c>
      <c r="BN943" s="3"/>
    </row>
    <row r="944" spans="2:66" ht="11.25" customHeight="1">
      <c r="B944" s="2"/>
      <c r="BN944" s="3"/>
    </row>
    <row r="945" spans="2:66" ht="11.25" customHeight="1">
      <c r="B945" s="2"/>
      <c r="Q945" s="1" t="s">
        <v>2</v>
      </c>
      <c r="R945" s="26">
        <v>4.5</v>
      </c>
      <c r="S945" s="26"/>
      <c r="T945" s="1" t="s">
        <v>0</v>
      </c>
      <c r="BN945" s="3"/>
    </row>
    <row r="946" spans="2:66" ht="11.25" customHeight="1">
      <c r="B946" s="2"/>
      <c r="AU946" s="13"/>
      <c r="AV946" s="13"/>
      <c r="AW946" s="13"/>
      <c r="BN946" s="3"/>
    </row>
    <row r="947" spans="2:66" ht="11.25" customHeight="1">
      <c r="B947" s="2"/>
      <c r="AU947" s="13">
        <f>-E951*C951^2/4+S956*S966+S958*S967</f>
        <v>-6.4307916409899235</v>
      </c>
      <c r="AV947" s="13"/>
      <c r="AW947" s="13"/>
      <c r="AX947" s="13">
        <f>+AU947</f>
        <v>-6.4307916409899235</v>
      </c>
      <c r="AY947" s="13"/>
      <c r="AZ947" s="13"/>
      <c r="BN947" s="3"/>
    </row>
    <row r="948" spans="2:66" ht="11.25" customHeight="1">
      <c r="B948" s="2"/>
      <c r="E948" s="24" t="s">
        <v>5</v>
      </c>
      <c r="BN948" s="3"/>
    </row>
    <row r="949" spans="2:66" ht="11.25" customHeight="1">
      <c r="B949" s="2"/>
      <c r="E949" s="24"/>
      <c r="BN949" s="3"/>
    </row>
    <row r="950" spans="2:66" ht="11.25" customHeight="1">
      <c r="B950" s="2"/>
      <c r="C950" s="6" t="s">
        <v>0</v>
      </c>
      <c r="E950" s="24"/>
      <c r="BI950" s="13">
        <f>+BK954</f>
        <v>-13.699910054703199</v>
      </c>
      <c r="BJ950" s="13"/>
      <c r="BK950" s="13"/>
      <c r="BN950" s="3"/>
    </row>
    <row r="951" spans="2:66" ht="11.25" customHeight="1">
      <c r="B951" s="2"/>
      <c r="C951" s="23">
        <v>1.75</v>
      </c>
      <c r="E951" s="23">
        <v>15</v>
      </c>
      <c r="BN951" s="3"/>
    </row>
    <row r="952" spans="2:66" ht="11.25" customHeight="1">
      <c r="B952" s="2"/>
      <c r="C952" s="23"/>
      <c r="E952" s="23"/>
      <c r="BN952" s="3"/>
    </row>
    <row r="953" spans="2:66" ht="11.25" customHeight="1">
      <c r="B953" s="2"/>
      <c r="C953" s="23"/>
      <c r="E953" s="23"/>
      <c r="L953" s="5" t="s">
        <v>4</v>
      </c>
      <c r="M953" s="26">
        <v>351</v>
      </c>
      <c r="N953" s="26"/>
      <c r="O953" s="26"/>
      <c r="P953" s="1" t="s">
        <v>3</v>
      </c>
      <c r="U953" s="5" t="s">
        <v>4</v>
      </c>
      <c r="V953" s="13">
        <f>+M953</f>
        <v>351</v>
      </c>
      <c r="W953" s="13"/>
      <c r="X953" s="13"/>
      <c r="Y953" s="1" t="s">
        <v>3</v>
      </c>
      <c r="BN953" s="3"/>
    </row>
    <row r="954" spans="2:66" ht="11.25" customHeight="1">
      <c r="B954" s="2"/>
      <c r="AO954" s="13">
        <f>S967+(E951*C951*C959/2-S968)</f>
        <v>18.785181321053297</v>
      </c>
      <c r="AP954" s="13"/>
      <c r="AQ954" s="13"/>
      <c r="BK954" s="13">
        <f>S967-(E951*C951*C959/2-S968)</f>
        <v>-13.699910054703199</v>
      </c>
      <c r="BL954" s="13"/>
      <c r="BM954" s="13"/>
      <c r="BN954" s="3"/>
    </row>
    <row r="955" spans="2:66" ht="11.25" customHeight="1">
      <c r="B955" s="2"/>
      <c r="Q955" s="1" t="s">
        <v>28</v>
      </c>
      <c r="S955" s="13">
        <f>SQRT(C951^2+(R972/2)^2)</f>
        <v>2.8504385627478448</v>
      </c>
      <c r="T955" s="13"/>
      <c r="BN955" s="3"/>
    </row>
    <row r="956" spans="2:66" ht="11.25" customHeight="1">
      <c r="B956" s="2"/>
      <c r="Q956" s="7" t="s">
        <v>30</v>
      </c>
      <c r="S956" s="13">
        <f>C951/C959</f>
        <v>0.5</v>
      </c>
      <c r="T956" s="13"/>
      <c r="BN956" s="3"/>
    </row>
    <row r="957" spans="2:66" ht="11.25" customHeight="1">
      <c r="B957" s="2"/>
      <c r="H957" s="24" t="s">
        <v>3</v>
      </c>
      <c r="Q957" s="1" t="s">
        <v>14</v>
      </c>
      <c r="S957" s="13">
        <f>M953/H959*C959/S955</f>
        <v>0.94722266085159168</v>
      </c>
      <c r="T957" s="13"/>
      <c r="AC957" s="24" t="s">
        <v>3</v>
      </c>
      <c r="BN957" s="3"/>
    </row>
    <row r="958" spans="2:66" ht="11.25" customHeight="1">
      <c r="B958" s="2"/>
      <c r="C958" s="6" t="s">
        <v>0</v>
      </c>
      <c r="H958" s="24"/>
      <c r="Q958" s="1" t="s">
        <v>31</v>
      </c>
      <c r="S958" s="13">
        <f>1+S956</f>
        <v>1.5</v>
      </c>
      <c r="T958" s="13"/>
      <c r="AC958" s="24"/>
      <c r="AN958" s="13">
        <f>+AO954</f>
        <v>18.785181321053297</v>
      </c>
      <c r="AO958" s="13"/>
      <c r="AP958" s="13"/>
      <c r="BN958" s="3"/>
    </row>
    <row r="959" spans="2:66" ht="11.25" customHeight="1">
      <c r="B959" s="2"/>
      <c r="C959" s="23">
        <v>3.5</v>
      </c>
      <c r="H959" s="23">
        <v>455</v>
      </c>
      <c r="Q959" s="1" t="s">
        <v>25</v>
      </c>
      <c r="S959" s="13">
        <f>(2+3*S957)</f>
        <v>4.8416679825547746</v>
      </c>
      <c r="T959" s="13"/>
      <c r="AC959" s="24">
        <f>+H959</f>
        <v>455</v>
      </c>
      <c r="AT959" s="1" t="s">
        <v>39</v>
      </c>
      <c r="BN959" s="3"/>
    </row>
    <row r="960" spans="2:66" ht="11.25" customHeight="1">
      <c r="B960" s="2"/>
      <c r="C960" s="23"/>
      <c r="H960" s="23"/>
      <c r="Q960" s="1" t="s">
        <v>26</v>
      </c>
      <c r="S960" s="13">
        <f>1+2*S958</f>
        <v>4</v>
      </c>
      <c r="T960" s="13"/>
      <c r="AC960" s="24"/>
      <c r="BN960" s="3"/>
    </row>
    <row r="961" spans="2:66" ht="11.25" customHeight="1">
      <c r="B961" s="2"/>
      <c r="C961" s="23"/>
      <c r="H961" s="23"/>
      <c r="Q961" s="1" t="s">
        <v>32</v>
      </c>
      <c r="S961" s="13">
        <f>2*(1+S957+S958+S958^2)</f>
        <v>11.394445321703184</v>
      </c>
      <c r="T961" s="13"/>
      <c r="AC961" s="24"/>
      <c r="BN961" s="3"/>
    </row>
    <row r="962" spans="2:66" ht="11.25" customHeight="1">
      <c r="B962" s="2"/>
      <c r="C962" s="24" t="s">
        <v>1</v>
      </c>
      <c r="H962" s="23"/>
      <c r="Q962" s="1" t="s">
        <v>33</v>
      </c>
      <c r="S962" s="13">
        <f>2*(S957+S956^2)</f>
        <v>2.3944453217031834</v>
      </c>
      <c r="T962" s="13"/>
      <c r="AC962" s="24"/>
      <c r="BN962" s="3"/>
    </row>
    <row r="963" spans="2:66" ht="11.25" customHeight="1">
      <c r="B963" s="2"/>
      <c r="C963" s="24"/>
      <c r="H963" s="25" t="s">
        <v>4</v>
      </c>
      <c r="Q963" s="1" t="s">
        <v>34</v>
      </c>
      <c r="S963" s="13">
        <f>S956*S960-S957</f>
        <v>1.0527773391484083</v>
      </c>
      <c r="T963" s="13"/>
      <c r="AC963" s="25" t="s">
        <v>4</v>
      </c>
      <c r="BN963" s="3"/>
    </row>
    <row r="964" spans="2:66" ht="11.25" customHeight="1">
      <c r="B964" s="2"/>
      <c r="H964" s="24"/>
      <c r="Q964" s="1" t="s">
        <v>12</v>
      </c>
      <c r="S964" s="13">
        <f>S961*S962-S963^2</f>
        <v>26.175036168130511</v>
      </c>
      <c r="T964" s="13"/>
      <c r="AC964" s="24"/>
      <c r="BN964" s="3"/>
    </row>
    <row r="965" spans="2:66" ht="11.25" customHeight="1">
      <c r="B965" s="2"/>
      <c r="Q965" s="1" t="s">
        <v>13</v>
      </c>
      <c r="S965" s="13">
        <f>3*S957+S959</f>
        <v>7.6833359651095492</v>
      </c>
      <c r="T965" s="13"/>
      <c r="BN965" s="3"/>
    </row>
    <row r="966" spans="2:66" ht="11.25" customHeight="1">
      <c r="B966" s="2"/>
      <c r="J966" s="13">
        <f>(E951*C951-AF966)</f>
        <v>14.559827271905728</v>
      </c>
      <c r="K966" s="13"/>
      <c r="L966" s="1" t="s">
        <v>8</v>
      </c>
      <c r="Q966" s="1" t="s">
        <v>35</v>
      </c>
      <c r="S966" s="13">
        <f>E951*C951^2/8*(S957*(4+9*S956)+S956*(6+S956))/S964</f>
        <v>2.4792598184950019</v>
      </c>
      <c r="T966" s="13"/>
      <c r="AF966" s="13">
        <f>E951*C951/2-(S966+S967)/C959</f>
        <v>11.690172728094272</v>
      </c>
      <c r="AG966" s="13"/>
      <c r="AH966" s="1" t="s">
        <v>8</v>
      </c>
      <c r="BN966" s="3"/>
    </row>
    <row r="967" spans="2:66" ht="11.25" customHeight="1">
      <c r="B967" s="2"/>
      <c r="Q967" s="1" t="s">
        <v>36</v>
      </c>
      <c r="S967" s="13">
        <f>E951*C951^2/8*(S957*(8+9*S956)-S956^2)/S964</f>
        <v>2.5426356331750499</v>
      </c>
      <c r="T967" s="13"/>
      <c r="AI967" s="13">
        <f>-S966-S968</f>
        <v>-32.174214130616754</v>
      </c>
      <c r="AJ967" s="13"/>
      <c r="AK967" s="13"/>
      <c r="BD967" s="13">
        <f>-S966+S968</f>
        <v>27.215694493626749</v>
      </c>
      <c r="BE967" s="13"/>
      <c r="BF967" s="13"/>
      <c r="BN967" s="3"/>
    </row>
    <row r="968" spans="2:66" ht="11.25" customHeight="1">
      <c r="B968" s="2"/>
      <c r="I968" s="13">
        <f>-AI967</f>
        <v>32.174214130616754</v>
      </c>
      <c r="J968" s="13"/>
      <c r="K968" s="1" t="s">
        <v>11</v>
      </c>
      <c r="Q968" s="1" t="s">
        <v>37</v>
      </c>
      <c r="S968" s="13">
        <f>E951*C951*C959/8*(4*S959+S956)/S965</f>
        <v>29.694954312121752</v>
      </c>
      <c r="T968" s="13"/>
      <c r="AE968" s="13">
        <f>+BD967</f>
        <v>27.215694493626749</v>
      </c>
      <c r="AF968" s="13"/>
      <c r="AG968" s="1" t="s">
        <v>11</v>
      </c>
      <c r="BN968" s="3"/>
    </row>
    <row r="969" spans="2:66" ht="11.25" customHeight="1">
      <c r="B969" s="2"/>
      <c r="BN969" s="3"/>
    </row>
    <row r="970" spans="2:66" ht="11.25" customHeight="1">
      <c r="B970" s="2"/>
      <c r="G970" s="13">
        <f>-(-E951*C951*C959*(2+S956)/(2*R972)+2*S968/R972)</f>
        <v>12.32307586127922</v>
      </c>
      <c r="H970" s="13"/>
      <c r="I970" s="1" t="s">
        <v>8</v>
      </c>
      <c r="AC970" s="13">
        <f>+G970</f>
        <v>12.32307586127922</v>
      </c>
      <c r="AD970" s="13"/>
      <c r="AE970" s="1" t="s">
        <v>8</v>
      </c>
      <c r="BN970" s="3"/>
    </row>
    <row r="971" spans="2:66" ht="11.25" customHeight="1">
      <c r="B971" s="2"/>
      <c r="BN971" s="3"/>
    </row>
    <row r="972" spans="2:66" ht="11.25" customHeight="1">
      <c r="B972" s="2"/>
      <c r="Q972" s="1" t="s">
        <v>2</v>
      </c>
      <c r="R972" s="26">
        <v>4.5</v>
      </c>
      <c r="S972" s="26"/>
      <c r="T972" s="1" t="s">
        <v>0</v>
      </c>
      <c r="BN972" s="3"/>
    </row>
    <row r="973" spans="2:66" ht="11.25" customHeight="1">
      <c r="B973" s="2"/>
      <c r="BN973" s="3"/>
    </row>
    <row r="974" spans="2:66" ht="11.25" customHeight="1">
      <c r="B974" s="2"/>
      <c r="AU974" s="13">
        <f>-S983*I984*H978/2+S983*S995+S985*S996</f>
        <v>-1.758631775249583</v>
      </c>
      <c r="AV974" s="13"/>
      <c r="AW974" s="13"/>
      <c r="AX974" s="13">
        <f>+AU974</f>
        <v>-1.758631775249583</v>
      </c>
      <c r="AY974" s="13"/>
      <c r="AZ974" s="13"/>
      <c r="BN974" s="3"/>
    </row>
    <row r="975" spans="2:66" ht="11.25" customHeight="1">
      <c r="B975" s="2"/>
      <c r="BN975" s="3"/>
    </row>
    <row r="976" spans="2:66" ht="11.25" customHeight="1">
      <c r="B976" s="2"/>
      <c r="BN976" s="3"/>
    </row>
    <row r="977" spans="2:66" ht="11.25" customHeight="1">
      <c r="B977" s="2"/>
      <c r="C977" s="6" t="s">
        <v>0</v>
      </c>
      <c r="BN977" s="3"/>
    </row>
    <row r="978" spans="2:66" ht="11.25" customHeight="1">
      <c r="B978" s="2"/>
      <c r="C978" s="23">
        <v>1.75</v>
      </c>
      <c r="H978" s="26">
        <v>0.8</v>
      </c>
      <c r="I978" s="26"/>
      <c r="J978" s="1" t="s">
        <v>0</v>
      </c>
      <c r="BN978" s="3"/>
    </row>
    <row r="979" spans="2:66" ht="11.25" customHeight="1">
      <c r="B979" s="2"/>
      <c r="C979" s="23"/>
      <c r="BN979" s="3"/>
    </row>
    <row r="980" spans="2:66" ht="11.25" customHeight="1">
      <c r="B980" s="2"/>
      <c r="C980" s="23"/>
      <c r="L980" s="5" t="s">
        <v>4</v>
      </c>
      <c r="M980" s="26">
        <v>351</v>
      </c>
      <c r="N980" s="26"/>
      <c r="O980" s="26"/>
      <c r="P980" s="1" t="s">
        <v>3</v>
      </c>
      <c r="U980" s="5" t="s">
        <v>4</v>
      </c>
      <c r="V980" s="13">
        <f>+M980</f>
        <v>351</v>
      </c>
      <c r="W980" s="13"/>
      <c r="X980" s="13"/>
      <c r="Y980" s="1" t="s">
        <v>3</v>
      </c>
      <c r="BI980" s="13">
        <f>S996-(I984*H978/2-S997)</f>
        <v>-1.6085571644718797</v>
      </c>
      <c r="BJ980" s="13"/>
      <c r="BK980" s="13"/>
      <c r="BN980" s="3"/>
    </row>
    <row r="981" spans="2:66" ht="11.25" customHeight="1">
      <c r="B981" s="2"/>
      <c r="AO981" s="13">
        <f>S996+(I984*H978/2-S997)</f>
        <v>3.7172569265178685</v>
      </c>
      <c r="AP981" s="13"/>
      <c r="AQ981" s="13"/>
      <c r="BN981" s="3"/>
    </row>
    <row r="982" spans="2:66" ht="11.25" customHeight="1">
      <c r="B982" s="2"/>
      <c r="E982" s="6" t="s">
        <v>0</v>
      </c>
      <c r="Q982" s="1" t="s">
        <v>28</v>
      </c>
      <c r="S982" s="13">
        <f>SQRT(C978^2+(R999/2)^2)</f>
        <v>2.8504385627478448</v>
      </c>
      <c r="T982" s="13"/>
      <c r="BJ982" s="13">
        <f>+BI980</f>
        <v>-1.6085571644718797</v>
      </c>
      <c r="BK982" s="13"/>
      <c r="BL982" s="13"/>
      <c r="BN982" s="3"/>
    </row>
    <row r="983" spans="2:66" ht="11.25" customHeight="1">
      <c r="B983" s="2"/>
      <c r="E983" s="24">
        <f>+C986-E988</f>
        <v>1.4</v>
      </c>
      <c r="Q983" s="7" t="s">
        <v>30</v>
      </c>
      <c r="S983" s="13">
        <f>C978/C986</f>
        <v>0.5</v>
      </c>
      <c r="T983" s="13"/>
      <c r="BN983" s="3"/>
    </row>
    <row r="984" spans="2:66" ht="11.25" customHeight="1">
      <c r="B984" s="2"/>
      <c r="E984" s="24"/>
      <c r="H984" s="24" t="s">
        <v>3</v>
      </c>
      <c r="I984" s="26">
        <v>15</v>
      </c>
      <c r="J984" s="26"/>
      <c r="K984" s="1" t="s">
        <v>8</v>
      </c>
      <c r="Q984" s="1" t="s">
        <v>14</v>
      </c>
      <c r="S984" s="13">
        <f>M980/H986*C986/S982</f>
        <v>0.94722266085159168</v>
      </c>
      <c r="T984" s="13"/>
      <c r="V984" s="5" t="s">
        <v>16</v>
      </c>
      <c r="X984" s="13">
        <f>E988/C986</f>
        <v>0.6</v>
      </c>
      <c r="Y984" s="13"/>
      <c r="AC984" s="24" t="s">
        <v>3</v>
      </c>
      <c r="AM984" s="13">
        <f>+AO981</f>
        <v>3.7172569265178685</v>
      </c>
      <c r="AN984" s="13"/>
      <c r="AO984" s="13"/>
      <c r="BN984" s="3"/>
    </row>
    <row r="985" spans="2:66" ht="11.25" customHeight="1">
      <c r="B985" s="2"/>
      <c r="C985" s="6" t="s">
        <v>0</v>
      </c>
      <c r="E985" s="24"/>
      <c r="H985" s="24"/>
      <c r="Q985" s="1" t="s">
        <v>31</v>
      </c>
      <c r="S985" s="13">
        <f>1+S983</f>
        <v>1.5</v>
      </c>
      <c r="T985" s="13"/>
      <c r="V985" s="5" t="s">
        <v>15</v>
      </c>
      <c r="X985" s="13">
        <f>E983/C986</f>
        <v>0.39999999999999997</v>
      </c>
      <c r="Y985" s="13"/>
      <c r="AC985" s="24"/>
      <c r="AH985" s="13">
        <f>AI994-E988*D993</f>
        <v>-6.0323577484640687</v>
      </c>
      <c r="AI985" s="13"/>
      <c r="AJ985" s="13"/>
      <c r="BN985" s="3"/>
    </row>
    <row r="986" spans="2:66" ht="11.25" customHeight="1">
      <c r="B986" s="2"/>
      <c r="C986" s="23">
        <v>3.5</v>
      </c>
      <c r="H986" s="23">
        <v>455</v>
      </c>
      <c r="Q986" s="1" t="s">
        <v>25</v>
      </c>
      <c r="S986" s="13">
        <f>(2+3*S984)</f>
        <v>4.8416679825547746</v>
      </c>
      <c r="T986" s="13"/>
      <c r="AC986" s="24">
        <f>+H986</f>
        <v>455</v>
      </c>
      <c r="AO986" s="13">
        <f>AM984+E983*AF993</f>
        <v>5.9676422515359304</v>
      </c>
      <c r="AP986" s="13"/>
      <c r="AQ986" s="13"/>
      <c r="AT986" s="1" t="s">
        <v>39</v>
      </c>
      <c r="BN986" s="3"/>
    </row>
    <row r="987" spans="2:66" ht="11.25" customHeight="1">
      <c r="B987" s="2"/>
      <c r="C987" s="23"/>
      <c r="E987" s="6" t="s">
        <v>0</v>
      </c>
      <c r="H987" s="23"/>
      <c r="Q987" s="1" t="s">
        <v>26</v>
      </c>
      <c r="S987" s="13">
        <f>1+2*S985</f>
        <v>4</v>
      </c>
      <c r="T987" s="13"/>
      <c r="AC987" s="24"/>
      <c r="BN987" s="3"/>
    </row>
    <row r="988" spans="2:66" ht="11.25" customHeight="1">
      <c r="B988" s="2"/>
      <c r="C988" s="23"/>
      <c r="E988" s="23">
        <v>2.1</v>
      </c>
      <c r="H988" s="23"/>
      <c r="Q988" s="1" t="s">
        <v>32</v>
      </c>
      <c r="S988" s="13">
        <f>2*(1+S984+S985+S985^2)</f>
        <v>11.394445321703184</v>
      </c>
      <c r="T988" s="13"/>
      <c r="AC988" s="24"/>
      <c r="BN988" s="3"/>
    </row>
    <row r="989" spans="2:66" ht="11.25" customHeight="1">
      <c r="B989" s="2"/>
      <c r="C989" s="24" t="s">
        <v>1</v>
      </c>
      <c r="E989" s="23"/>
      <c r="H989" s="23"/>
      <c r="Q989" s="1" t="s">
        <v>33</v>
      </c>
      <c r="S989" s="13">
        <f>2*(S984+S983^2)</f>
        <v>2.3944453217031834</v>
      </c>
      <c r="T989" s="13"/>
      <c r="AC989" s="24"/>
      <c r="BN989" s="3"/>
    </row>
    <row r="990" spans="2:66" ht="11.25" customHeight="1">
      <c r="B990" s="2"/>
      <c r="C990" s="24"/>
      <c r="E990" s="23"/>
      <c r="H990" s="25" t="s">
        <v>4</v>
      </c>
      <c r="Q990" s="1" t="s">
        <v>34</v>
      </c>
      <c r="S990" s="13">
        <f>S983*S987-S984</f>
        <v>1.0527773391484083</v>
      </c>
      <c r="T990" s="13"/>
      <c r="AC990" s="25" t="s">
        <v>4</v>
      </c>
      <c r="BN990" s="3"/>
    </row>
    <row r="991" spans="2:66" ht="11.25" customHeight="1">
      <c r="B991" s="2"/>
      <c r="H991" s="24"/>
      <c r="Q991" s="1" t="s">
        <v>12</v>
      </c>
      <c r="S991" s="13">
        <f>S988*S989-S990^2</f>
        <v>26.175036168130511</v>
      </c>
      <c r="T991" s="13"/>
      <c r="AC991" s="24"/>
      <c r="BN991" s="3"/>
    </row>
    <row r="992" spans="2:66" ht="11.25" customHeight="1">
      <c r="B992" s="2"/>
      <c r="Q992" s="1" t="s">
        <v>13</v>
      </c>
      <c r="S992" s="13">
        <f>3*S984+S986</f>
        <v>7.6833359651095492</v>
      </c>
      <c r="T992" s="13"/>
      <c r="BN992" s="3"/>
    </row>
    <row r="993" spans="2:66" ht="11.25" customHeight="1">
      <c r="B993" s="2"/>
      <c r="D993" s="13">
        <f>I984*H978/(2*C986)-(S995+S996)/C986</f>
        <v>1.6074180892986158</v>
      </c>
      <c r="E993" s="13"/>
      <c r="F993" s="1" t="s">
        <v>8</v>
      </c>
      <c r="Q993" s="1" t="s">
        <v>42</v>
      </c>
      <c r="S993" s="13">
        <f>I984*H978*(2*S983^2-(1-3*X985^2)*S984)</f>
        <v>8.9330596286067543E-2</v>
      </c>
      <c r="T993" s="13"/>
      <c r="AF993" s="13">
        <f>+D993</f>
        <v>1.6074180892986158</v>
      </c>
      <c r="AG993" s="13"/>
      <c r="AH993" s="1" t="s">
        <v>8</v>
      </c>
      <c r="BN993" s="3"/>
    </row>
    <row r="994" spans="2:66" ht="11.25" customHeight="1">
      <c r="B994" s="2"/>
      <c r="Q994" s="1" t="s">
        <v>43</v>
      </c>
      <c r="S994" s="13">
        <f>I984*H978*(S983*S987-(3*X984^2-1)*S984)</f>
        <v>23.090666245582469</v>
      </c>
      <c r="T994" s="13"/>
      <c r="AI994" s="13">
        <f>-S995-S997</f>
        <v>-2.6567797609369759</v>
      </c>
      <c r="AJ994" s="13"/>
      <c r="AK994" s="13"/>
      <c r="BD994" s="13">
        <f>-S995+S997</f>
        <v>4.0174061480732757</v>
      </c>
      <c r="BE994" s="13"/>
      <c r="BF994" s="13"/>
      <c r="BN994" s="3"/>
    </row>
    <row r="995" spans="2:66" ht="11.25" customHeight="1">
      <c r="B995" s="2"/>
      <c r="I995" s="13">
        <f>-AI994</f>
        <v>2.6567797609369759</v>
      </c>
      <c r="J995" s="13"/>
      <c r="K995" s="1" t="s">
        <v>11</v>
      </c>
      <c r="Q995" s="1" t="s">
        <v>35</v>
      </c>
      <c r="S995" s="13">
        <f>(S993-S988-S994*S990)/(2*S991)</f>
        <v>-0.68031319356815001</v>
      </c>
      <c r="T995" s="13"/>
      <c r="AE995" s="13">
        <f>+BD994</f>
        <v>4.0174061480732757</v>
      </c>
      <c r="AF995" s="13"/>
      <c r="AG995" s="1" t="s">
        <v>11</v>
      </c>
      <c r="BN995" s="3"/>
    </row>
    <row r="996" spans="2:66" ht="11.25" customHeight="1">
      <c r="B996" s="2"/>
      <c r="Q996" s="1" t="s">
        <v>36</v>
      </c>
      <c r="S996" s="13">
        <f>(S994*S989-S993*S990)/(2*S991)</f>
        <v>1.0543498810229945</v>
      </c>
      <c r="T996" s="13"/>
      <c r="BN996" s="3"/>
    </row>
    <row r="997" spans="2:66" ht="11.25" customHeight="1">
      <c r="B997" s="2"/>
      <c r="G997" s="13">
        <f>I984-AC997</f>
        <v>13.816485757557833</v>
      </c>
      <c r="H997" s="13"/>
      <c r="I997" s="1" t="s">
        <v>8</v>
      </c>
      <c r="Q997" s="1" t="s">
        <v>37</v>
      </c>
      <c r="S997" s="13">
        <f>I984*H978/2*(S986-3*(X984-X985)*S984)/S992</f>
        <v>3.3370929545051258</v>
      </c>
      <c r="T997" s="13"/>
      <c r="AC997" s="13">
        <f>(I984*H978-2*S997)/R999</f>
        <v>1.1835142424421663</v>
      </c>
      <c r="AD997" s="13"/>
      <c r="AE997" s="1" t="s">
        <v>8</v>
      </c>
      <c r="BN997" s="3"/>
    </row>
    <row r="998" spans="2:66" ht="11.25" customHeight="1">
      <c r="B998" s="2"/>
      <c r="BN998" s="3"/>
    </row>
    <row r="999" spans="2:66" ht="11.25" customHeight="1">
      <c r="B999" s="2"/>
      <c r="Q999" s="1" t="s">
        <v>2</v>
      </c>
      <c r="R999" s="26">
        <v>4.5</v>
      </c>
      <c r="S999" s="26"/>
      <c r="T999" s="1" t="s">
        <v>0</v>
      </c>
      <c r="BN999" s="3"/>
    </row>
    <row r="1000" spans="2:66" ht="11.25" customHeight="1">
      <c r="B1000" s="2"/>
      <c r="BN1000" s="3"/>
    </row>
    <row r="1001" spans="2:66" ht="11.25" customHeight="1">
      <c r="B1001" s="2"/>
      <c r="BN1001" s="3"/>
    </row>
    <row r="1002" spans="2:66" ht="11.25" customHeight="1">
      <c r="B1002" s="2"/>
      <c r="O1002" s="26">
        <v>15</v>
      </c>
      <c r="P1002" s="26"/>
      <c r="Q1002" s="1" t="s">
        <v>8</v>
      </c>
      <c r="BN1002" s="3"/>
    </row>
    <row r="1003" spans="2:66" ht="11.25" customHeight="1">
      <c r="B1003" s="2"/>
      <c r="C1003" s="6" t="s">
        <v>0</v>
      </c>
      <c r="BI1003" s="13">
        <f>+BK1007</f>
        <v>-9.7085152700333968</v>
      </c>
      <c r="BJ1003" s="13"/>
      <c r="BK1003" s="13"/>
      <c r="BN1003" s="3"/>
    </row>
    <row r="1004" spans="2:66" ht="11.25" customHeight="1">
      <c r="B1004" s="2"/>
      <c r="C1004" s="23">
        <v>1.75</v>
      </c>
      <c r="BN1004" s="3"/>
    </row>
    <row r="1005" spans="2:66" ht="11.25" customHeight="1">
      <c r="B1005" s="2"/>
      <c r="C1005" s="23"/>
      <c r="BN1005" s="3"/>
    </row>
    <row r="1006" spans="2:66" ht="11.25" customHeight="1">
      <c r="B1006" s="2"/>
      <c r="C1006" s="23"/>
      <c r="L1006" s="5" t="s">
        <v>4</v>
      </c>
      <c r="M1006" s="26">
        <v>351</v>
      </c>
      <c r="N1006" s="26"/>
      <c r="O1006" s="26"/>
      <c r="P1006" s="1" t="s">
        <v>3</v>
      </c>
      <c r="U1006" s="5" t="s">
        <v>4</v>
      </c>
      <c r="V1006" s="13">
        <f>+M1006</f>
        <v>351</v>
      </c>
      <c r="W1006" s="13"/>
      <c r="X1006" s="13"/>
      <c r="Y1006" s="1" t="s">
        <v>3</v>
      </c>
      <c r="BN1006" s="3"/>
    </row>
    <row r="1007" spans="2:66" ht="11.25" customHeight="1">
      <c r="B1007" s="2"/>
      <c r="AO1007" s="13">
        <f>3*O1002*C1012*S1010/(2*S1018)</f>
        <v>9.7085152700333968</v>
      </c>
      <c r="AP1007" s="13"/>
      <c r="AQ1007" s="13"/>
      <c r="BK1007" s="13">
        <f>-AO1007</f>
        <v>-9.7085152700333968</v>
      </c>
      <c r="BL1007" s="13"/>
      <c r="BM1007" s="13"/>
      <c r="BN1007" s="3"/>
    </row>
    <row r="1008" spans="2:66" ht="11.25" customHeight="1">
      <c r="B1008" s="2"/>
      <c r="Q1008" s="1" t="s">
        <v>28</v>
      </c>
      <c r="S1008" s="13">
        <f>SQRT(C1004^2+(R1025/2)^2)</f>
        <v>2.8504385627478448</v>
      </c>
      <c r="T1008" s="13"/>
      <c r="BN1008" s="3"/>
    </row>
    <row r="1009" spans="2:66" ht="11.25" customHeight="1">
      <c r="B1009" s="2"/>
      <c r="Q1009" s="7" t="s">
        <v>30</v>
      </c>
      <c r="S1009" s="13">
        <f>C1004/C1012</f>
        <v>0.5</v>
      </c>
      <c r="T1009" s="13"/>
      <c r="BN1009" s="3"/>
    </row>
    <row r="1010" spans="2:66" ht="11.25" customHeight="1">
      <c r="B1010" s="2"/>
      <c r="H1010" s="24" t="s">
        <v>3</v>
      </c>
      <c r="Q1010" s="1" t="s">
        <v>14</v>
      </c>
      <c r="S1010" s="13">
        <f>M1006/H1012*C1012/S1008</f>
        <v>0.94722266085159168</v>
      </c>
      <c r="T1010" s="13"/>
      <c r="AC1010" s="24" t="s">
        <v>3</v>
      </c>
      <c r="BN1010" s="3"/>
    </row>
    <row r="1011" spans="2:66" ht="11.25" customHeight="1">
      <c r="B1011" s="2"/>
      <c r="C1011" s="6" t="s">
        <v>0</v>
      </c>
      <c r="H1011" s="24"/>
      <c r="Q1011" s="1" t="s">
        <v>31</v>
      </c>
      <c r="S1011" s="13">
        <f>1+S1009</f>
        <v>1.5</v>
      </c>
      <c r="T1011" s="13"/>
      <c r="AC1011" s="24"/>
      <c r="AN1011" s="13">
        <f>+AO1007</f>
        <v>9.7085152700333968</v>
      </c>
      <c r="AO1011" s="13"/>
      <c r="AP1011" s="13"/>
      <c r="BN1011" s="3"/>
    </row>
    <row r="1012" spans="2:66" ht="11.25" customHeight="1">
      <c r="B1012" s="2"/>
      <c r="C1012" s="23">
        <v>3.5</v>
      </c>
      <c r="H1012" s="23">
        <v>455</v>
      </c>
      <c r="Q1012" s="1" t="s">
        <v>25</v>
      </c>
      <c r="S1012" s="13">
        <f>(2+3*S1010)</f>
        <v>4.8416679825547746</v>
      </c>
      <c r="T1012" s="13"/>
      <c r="AC1012" s="24">
        <f>+H1012</f>
        <v>455</v>
      </c>
      <c r="BN1012" s="3"/>
    </row>
    <row r="1013" spans="2:66" ht="11.25" customHeight="1">
      <c r="B1013" s="2"/>
      <c r="C1013" s="23"/>
      <c r="H1013" s="23"/>
      <c r="Q1013" s="1" t="s">
        <v>26</v>
      </c>
      <c r="S1013" s="13">
        <f>1+2*S1011</f>
        <v>4</v>
      </c>
      <c r="T1013" s="13"/>
      <c r="AC1013" s="24"/>
      <c r="AT1013" s="1" t="s">
        <v>39</v>
      </c>
      <c r="BN1013" s="3"/>
    </row>
    <row r="1014" spans="2:66" ht="11.25" customHeight="1">
      <c r="B1014" s="2"/>
      <c r="C1014" s="23"/>
      <c r="H1014" s="23"/>
      <c r="Q1014" s="1" t="s">
        <v>32</v>
      </c>
      <c r="S1014" s="13">
        <f>2*(1+S1010+S1011+S1011^2)</f>
        <v>11.394445321703184</v>
      </c>
      <c r="T1014" s="13"/>
      <c r="AC1014" s="24"/>
      <c r="BN1014" s="3"/>
    </row>
    <row r="1015" spans="2:66" ht="11.25" customHeight="1">
      <c r="B1015" s="2"/>
      <c r="C1015" s="24" t="s">
        <v>1</v>
      </c>
      <c r="H1015" s="23"/>
      <c r="Q1015" s="1" t="s">
        <v>33</v>
      </c>
      <c r="S1015" s="13">
        <f>2*(S1010+S1009^2)</f>
        <v>2.3944453217031834</v>
      </c>
      <c r="T1015" s="13"/>
      <c r="AC1015" s="24"/>
      <c r="BN1015" s="3"/>
    </row>
    <row r="1016" spans="2:66" ht="11.25" customHeight="1">
      <c r="B1016" s="2"/>
      <c r="C1016" s="24"/>
      <c r="H1016" s="25" t="s">
        <v>4</v>
      </c>
      <c r="Q1016" s="1" t="s">
        <v>34</v>
      </c>
      <c r="S1016" s="13">
        <f>S1009*S1013-S1010</f>
        <v>1.0527773391484083</v>
      </c>
      <c r="T1016" s="13"/>
      <c r="AC1016" s="25" t="s">
        <v>4</v>
      </c>
      <c r="BN1016" s="3"/>
    </row>
    <row r="1017" spans="2:66" ht="11.25" customHeight="1">
      <c r="B1017" s="2"/>
      <c r="H1017" s="24"/>
      <c r="Q1017" s="1" t="s">
        <v>12</v>
      </c>
      <c r="S1017" s="13">
        <f>S1014*S1015-S1016^2</f>
        <v>26.175036168130511</v>
      </c>
      <c r="T1017" s="13"/>
      <c r="AC1017" s="24"/>
      <c r="BN1017" s="3"/>
    </row>
    <row r="1018" spans="2:66" ht="11.25" customHeight="1">
      <c r="B1018" s="2"/>
      <c r="Q1018" s="1" t="s">
        <v>13</v>
      </c>
      <c r="S1018" s="13">
        <f>3*S1010+S1012</f>
        <v>7.6833359651095492</v>
      </c>
      <c r="T1018" s="13"/>
      <c r="BN1018" s="3"/>
    </row>
    <row r="1019" spans="2:66" ht="11.25" customHeight="1">
      <c r="B1019" s="2"/>
      <c r="J1019" s="13">
        <f>O1002/2</f>
        <v>7.5</v>
      </c>
      <c r="K1019" s="13"/>
      <c r="L1019" s="1" t="s">
        <v>8</v>
      </c>
      <c r="AF1019" s="13">
        <f>+J1019</f>
        <v>7.5</v>
      </c>
      <c r="AG1019" s="13"/>
      <c r="AH1019" s="1" t="s">
        <v>8</v>
      </c>
      <c r="BN1019" s="3"/>
    </row>
    <row r="1020" spans="2:66" ht="11.25" customHeight="1">
      <c r="B1020" s="2"/>
      <c r="AI1020" s="13">
        <f>-O1002*C1012*S1012/(2*S1018)</f>
        <v>-16.541484729966605</v>
      </c>
      <c r="AJ1020" s="13"/>
      <c r="AK1020" s="13"/>
      <c r="BD1020" s="13">
        <f>-AI1020</f>
        <v>16.541484729966605</v>
      </c>
      <c r="BE1020" s="13"/>
      <c r="BF1020" s="13"/>
      <c r="BN1020" s="3"/>
    </row>
    <row r="1021" spans="2:66" ht="11.25" customHeight="1">
      <c r="B1021" s="2"/>
      <c r="I1021" s="13">
        <f>-AI1020</f>
        <v>16.541484729966605</v>
      </c>
      <c r="J1021" s="13"/>
      <c r="K1021" s="1" t="s">
        <v>11</v>
      </c>
      <c r="AE1021" s="13">
        <f>+BD1020</f>
        <v>16.541484729966605</v>
      </c>
      <c r="AF1021" s="13"/>
      <c r="AG1021" s="1" t="s">
        <v>11</v>
      </c>
      <c r="BN1021" s="3"/>
    </row>
    <row r="1022" spans="2:66" ht="11.25" customHeight="1">
      <c r="B1022" s="2"/>
      <c r="BN1022" s="3"/>
    </row>
    <row r="1023" spans="2:66" ht="11.25" customHeight="1">
      <c r="B1023" s="2"/>
      <c r="G1023" s="13">
        <f>-(-(O1002*(C1012+C1004)+2*AI1020)/R1025)</f>
        <v>10.148229008903732</v>
      </c>
      <c r="H1023" s="13"/>
      <c r="I1023" s="1" t="s">
        <v>8</v>
      </c>
      <c r="AC1023" s="13">
        <f>G1023</f>
        <v>10.148229008903732</v>
      </c>
      <c r="AD1023" s="13"/>
      <c r="AE1023" s="1" t="s">
        <v>8</v>
      </c>
      <c r="BN1023" s="3"/>
    </row>
    <row r="1024" spans="2:66" ht="11.25" customHeight="1">
      <c r="B1024" s="2"/>
      <c r="BN1024" s="3"/>
    </row>
    <row r="1025" spans="2:66" ht="11.25" customHeight="1">
      <c r="B1025" s="2"/>
      <c r="Q1025" s="1" t="s">
        <v>2</v>
      </c>
      <c r="R1025" s="26">
        <v>4.5</v>
      </c>
      <c r="S1025" s="26"/>
      <c r="T1025" s="1" t="s">
        <v>0</v>
      </c>
      <c r="BN1025" s="3"/>
    </row>
    <row r="1026" spans="2:66" ht="11.25" customHeight="1">
      <c r="B1026" s="2"/>
      <c r="BN1026" s="3"/>
    </row>
    <row r="1027" spans="2:66" ht="11.25" customHeight="1">
      <c r="B1027" s="2"/>
      <c r="AU1027" s="13">
        <f>-E1034*C1031/2+S1036*S1046+S1038*S1047</f>
        <v>-4.911958531410999</v>
      </c>
      <c r="AV1027" s="13"/>
      <c r="AW1027" s="13"/>
      <c r="AX1027" s="13">
        <f>+AU1027</f>
        <v>-4.911958531410999</v>
      </c>
      <c r="AY1027" s="13"/>
      <c r="AZ1027" s="13"/>
      <c r="BN1027" s="3"/>
    </row>
    <row r="1028" spans="2:66" ht="11.25" customHeight="1">
      <c r="B1028" s="2"/>
      <c r="BN1028" s="3"/>
    </row>
    <row r="1029" spans="2:66" ht="11.25" customHeight="1">
      <c r="B1029" s="2"/>
      <c r="BN1029" s="3"/>
    </row>
    <row r="1030" spans="2:66" ht="11.25" customHeight="1">
      <c r="B1030" s="2"/>
      <c r="C1030" s="6" t="s">
        <v>0</v>
      </c>
      <c r="BI1030" s="13">
        <f>+BK1034</f>
        <v>-5.4338057302113612</v>
      </c>
      <c r="BJ1030" s="13"/>
      <c r="BK1030" s="13"/>
      <c r="BN1030" s="3"/>
    </row>
    <row r="1031" spans="2:66" ht="11.25" customHeight="1">
      <c r="B1031" s="2"/>
      <c r="C1031" s="23">
        <v>1.75</v>
      </c>
      <c r="BN1031" s="3"/>
    </row>
    <row r="1032" spans="2:66" ht="11.25" customHeight="1">
      <c r="B1032" s="2"/>
      <c r="C1032" s="23"/>
      <c r="BN1032" s="3"/>
    </row>
    <row r="1033" spans="2:66" ht="11.25" customHeight="1">
      <c r="B1033" s="2"/>
      <c r="C1033" s="23"/>
      <c r="L1033" s="5" t="s">
        <v>4</v>
      </c>
      <c r="M1033" s="26">
        <v>351</v>
      </c>
      <c r="N1033" s="26"/>
      <c r="O1033" s="26"/>
      <c r="P1033" s="1" t="s">
        <v>3</v>
      </c>
      <c r="U1033" s="5" t="s">
        <v>4</v>
      </c>
      <c r="V1033" s="13">
        <f>+M1033</f>
        <v>351</v>
      </c>
      <c r="W1033" s="13"/>
      <c r="X1033" s="13"/>
      <c r="Y1033" s="1" t="s">
        <v>3</v>
      </c>
      <c r="BN1033" s="3"/>
    </row>
    <row r="1034" spans="2:66" ht="11.25" customHeight="1">
      <c r="B1034" s="2"/>
      <c r="E1034" s="26">
        <v>15</v>
      </c>
      <c r="F1034" s="26"/>
      <c r="G1034" s="1" t="s">
        <v>8</v>
      </c>
      <c r="AO1034" s="13">
        <f>S1047+(E1034*C1039/2-S1048)</f>
        <v>13.983224809855429</v>
      </c>
      <c r="AP1034" s="13"/>
      <c r="AQ1034" s="13"/>
      <c r="BK1034" s="13">
        <f>S1047-(E1034*C1039/2-S1048)</f>
        <v>-5.4338057302113612</v>
      </c>
      <c r="BL1034" s="13"/>
      <c r="BM1034" s="13"/>
      <c r="BN1034" s="3"/>
    </row>
    <row r="1035" spans="2:66" ht="11.25" customHeight="1">
      <c r="B1035" s="2"/>
      <c r="Q1035" s="1" t="s">
        <v>28</v>
      </c>
      <c r="S1035" s="13">
        <f>SQRT(C1031^2+(R1052/2)^2)</f>
        <v>2.8504385627478448</v>
      </c>
      <c r="T1035" s="13"/>
      <c r="BN1035" s="3"/>
    </row>
    <row r="1036" spans="2:66" ht="11.25" customHeight="1">
      <c r="B1036" s="2"/>
      <c r="Q1036" s="7" t="s">
        <v>30</v>
      </c>
      <c r="S1036" s="13">
        <f>C1031/C1039</f>
        <v>0.5</v>
      </c>
      <c r="T1036" s="13"/>
      <c r="BN1036" s="3"/>
    </row>
    <row r="1037" spans="2:66" ht="11.25" customHeight="1">
      <c r="B1037" s="2"/>
      <c r="H1037" s="24" t="s">
        <v>3</v>
      </c>
      <c r="Q1037" s="1" t="s">
        <v>14</v>
      </c>
      <c r="S1037" s="13">
        <f>M1033/H1039*C1039/S1035</f>
        <v>0.94722266085159168</v>
      </c>
      <c r="T1037" s="13"/>
      <c r="AC1037" s="24" t="s">
        <v>3</v>
      </c>
      <c r="BN1037" s="3"/>
    </row>
    <row r="1038" spans="2:66" ht="11.25" customHeight="1">
      <c r="B1038" s="2"/>
      <c r="C1038" s="6" t="s">
        <v>0</v>
      </c>
      <c r="H1038" s="24"/>
      <c r="Q1038" s="1" t="s">
        <v>31</v>
      </c>
      <c r="S1038" s="13">
        <f>1+S1036</f>
        <v>1.5</v>
      </c>
      <c r="T1038" s="13"/>
      <c r="AC1038" s="24"/>
      <c r="AN1038" s="13">
        <f>+AO1034</f>
        <v>13.983224809855429</v>
      </c>
      <c r="AO1038" s="13"/>
      <c r="AP1038" s="13"/>
      <c r="BN1038" s="3"/>
    </row>
    <row r="1039" spans="2:66" ht="11.25" customHeight="1">
      <c r="B1039" s="2"/>
      <c r="C1039" s="23">
        <v>3.5</v>
      </c>
      <c r="H1039" s="23">
        <v>455</v>
      </c>
      <c r="Q1039" s="1" t="s">
        <v>25</v>
      </c>
      <c r="S1039" s="13">
        <f>(2+3*S1037)</f>
        <v>4.8416679825547746</v>
      </c>
      <c r="T1039" s="13"/>
      <c r="AC1039" s="24">
        <f>+H1039</f>
        <v>455</v>
      </c>
      <c r="BN1039" s="3"/>
    </row>
    <row r="1040" spans="2:66" ht="11.25" customHeight="1">
      <c r="B1040" s="2"/>
      <c r="C1040" s="23"/>
      <c r="H1040" s="23"/>
      <c r="Q1040" s="1" t="s">
        <v>26</v>
      </c>
      <c r="S1040" s="13">
        <f>1+2*S1038</f>
        <v>4</v>
      </c>
      <c r="T1040" s="13"/>
      <c r="AC1040" s="24"/>
      <c r="AT1040" s="1" t="s">
        <v>39</v>
      </c>
      <c r="BN1040" s="3"/>
    </row>
    <row r="1041" spans="2:66" ht="11.25" customHeight="1">
      <c r="B1041" s="2"/>
      <c r="C1041" s="23"/>
      <c r="H1041" s="23"/>
      <c r="Q1041" s="1" t="s">
        <v>32</v>
      </c>
      <c r="S1041" s="13">
        <f>2*(1+S1037+S1038+S1038^2)</f>
        <v>11.394445321703184</v>
      </c>
      <c r="T1041" s="13"/>
      <c r="AC1041" s="24"/>
      <c r="BN1041" s="3"/>
    </row>
    <row r="1042" spans="2:66" ht="11.25" customHeight="1">
      <c r="B1042" s="2"/>
      <c r="C1042" s="24" t="s">
        <v>1</v>
      </c>
      <c r="H1042" s="23"/>
      <c r="Q1042" s="1" t="s">
        <v>33</v>
      </c>
      <c r="S1042" s="13">
        <f>2*(S1037+S1036^2)</f>
        <v>2.3944453217031834</v>
      </c>
      <c r="T1042" s="13"/>
      <c r="AC1042" s="24"/>
      <c r="BN1042" s="3"/>
    </row>
    <row r="1043" spans="2:66" ht="11.25" customHeight="1">
      <c r="B1043" s="2"/>
      <c r="C1043" s="24"/>
      <c r="H1043" s="25" t="s">
        <v>4</v>
      </c>
      <c r="Q1043" s="1" t="s">
        <v>34</v>
      </c>
      <c r="S1043" s="13">
        <f>S1036*S1040-S1037</f>
        <v>1.0527773391484083</v>
      </c>
      <c r="T1043" s="13"/>
      <c r="AC1043" s="25" t="s">
        <v>4</v>
      </c>
      <c r="BN1043" s="3"/>
    </row>
    <row r="1044" spans="2:66" ht="11.25" customHeight="1">
      <c r="B1044" s="2"/>
      <c r="H1044" s="24"/>
      <c r="Q1044" s="1" t="s">
        <v>12</v>
      </c>
      <c r="S1044" s="13">
        <f>S1041*S1042-S1043^2</f>
        <v>26.175036168130511</v>
      </c>
      <c r="T1044" s="13"/>
      <c r="AC1044" s="24"/>
      <c r="BN1044" s="3"/>
    </row>
    <row r="1045" spans="2:66" ht="11.25" customHeight="1">
      <c r="B1045" s="2"/>
      <c r="Q1045" s="1" t="s">
        <v>13</v>
      </c>
      <c r="S1045" s="13">
        <f>3*S1037+S1039</f>
        <v>7.6833359651095492</v>
      </c>
      <c r="T1045" s="13"/>
      <c r="BN1045" s="3"/>
    </row>
    <row r="1046" spans="2:66" ht="11.25" customHeight="1">
      <c r="B1046" s="2"/>
      <c r="J1046" s="13">
        <f>(E1034-AF1046)</f>
        <v>9.7504753878668389</v>
      </c>
      <c r="K1046" s="13"/>
      <c r="L1046" s="1" t="s">
        <v>8</v>
      </c>
      <c r="Q1046" s="1" t="s">
        <v>35</v>
      </c>
      <c r="S1046" s="13">
        <f>(3*E1034*C1031*(S1037+2*S1036*S1037+S1036))/(2*S1044)</f>
        <v>3.6019543177119004</v>
      </c>
      <c r="T1046" s="13"/>
      <c r="AF1046" s="13">
        <f>E1034/2-(S1046+S1047)/C1039</f>
        <v>5.2495246121331611</v>
      </c>
      <c r="AG1046" s="13"/>
      <c r="AH1046" s="1" t="s">
        <v>8</v>
      </c>
      <c r="BN1046" s="3"/>
    </row>
    <row r="1047" spans="2:66" ht="11.25" customHeight="1">
      <c r="B1047" s="2"/>
      <c r="Q1047" s="1" t="s">
        <v>36</v>
      </c>
      <c r="S1047" s="13">
        <f>3*E1034*C1031*S1038*S1037/S1044</f>
        <v>4.2747095398220338</v>
      </c>
      <c r="T1047" s="13"/>
      <c r="AI1047" s="13">
        <f>-S1047-S1048</f>
        <v>-20.816194269788639</v>
      </c>
      <c r="AJ1047" s="13"/>
      <c r="AK1047" s="13"/>
      <c r="BD1047" s="13">
        <f>-S1047+S1048</f>
        <v>12.266775190144571</v>
      </c>
      <c r="BE1047" s="13"/>
      <c r="BF1047" s="13"/>
      <c r="BN1047" s="3"/>
    </row>
    <row r="1048" spans="2:66" ht="11.25" customHeight="1">
      <c r="B1048" s="2"/>
      <c r="I1048" s="13">
        <f>-AI1047</f>
        <v>20.816194269788639</v>
      </c>
      <c r="J1048" s="13"/>
      <c r="K1048" s="1" t="s">
        <v>11</v>
      </c>
      <c r="Q1048" s="1" t="s">
        <v>37</v>
      </c>
      <c r="S1048" s="13">
        <f>E1034*C1039*S1039/(2*S1045)</f>
        <v>16.541484729966605</v>
      </c>
      <c r="T1048" s="13"/>
      <c r="AE1048" s="13">
        <f>+BD1047</f>
        <v>12.266775190144571</v>
      </c>
      <c r="AF1048" s="13"/>
      <c r="AG1048" s="1" t="s">
        <v>11</v>
      </c>
      <c r="BN1048" s="3"/>
    </row>
    <row r="1049" spans="2:66" ht="11.25" customHeight="1">
      <c r="B1049" s="2"/>
      <c r="BN1049" s="3"/>
    </row>
    <row r="1050" spans="2:66" ht="11.25" customHeight="1">
      <c r="B1050" s="2"/>
      <c r="G1050" s="13">
        <f>(E1034*C1039-2*S1048)/R1052</f>
        <v>4.3148956755703978</v>
      </c>
      <c r="H1050" s="13"/>
      <c r="I1050" s="1" t="s">
        <v>8</v>
      </c>
      <c r="AC1050" s="13">
        <f>+G1050</f>
        <v>4.3148956755703978</v>
      </c>
      <c r="AD1050" s="13"/>
      <c r="AE1050" s="1" t="s">
        <v>8</v>
      </c>
      <c r="BN1050" s="3"/>
    </row>
    <row r="1051" spans="2:66" ht="11.25" customHeight="1">
      <c r="B1051" s="2"/>
      <c r="BN1051" s="3"/>
    </row>
    <row r="1052" spans="2:66" ht="11.25" customHeight="1">
      <c r="B1052" s="2"/>
      <c r="Q1052" s="1" t="s">
        <v>2</v>
      </c>
      <c r="R1052" s="26">
        <v>4.5</v>
      </c>
      <c r="S1052" s="26"/>
      <c r="T1052" s="1" t="s">
        <v>0</v>
      </c>
      <c r="BN1052" s="3"/>
    </row>
    <row r="1053" spans="2:66" ht="11.25" customHeight="1" thickBot="1">
      <c r="B1053" s="8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  <c r="BF1053" s="9"/>
      <c r="BG1053" s="9"/>
      <c r="BH1053" s="9"/>
      <c r="BI1053" s="9"/>
      <c r="BJ1053" s="9"/>
      <c r="BK1053" s="9"/>
      <c r="BL1053" s="9"/>
      <c r="BM1053" s="9"/>
      <c r="BN1053" s="10"/>
    </row>
    <row r="1054" spans="2:66" ht="11.25" customHeight="1" thickBot="1"/>
    <row r="1055" spans="2:66" ht="45.75" customHeight="1">
      <c r="B1055" s="29" t="s">
        <v>44</v>
      </c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  <c r="S1055" s="30"/>
      <c r="T1055" s="30"/>
      <c r="U1055" s="30"/>
      <c r="V1055" s="30"/>
      <c r="W1055" s="30"/>
      <c r="X1055" s="30"/>
      <c r="Y1055" s="30"/>
      <c r="Z1055" s="30"/>
      <c r="AA1055" s="30"/>
      <c r="AB1055" s="30"/>
      <c r="AC1055" s="30"/>
      <c r="AD1055" s="30"/>
      <c r="AE1055" s="30"/>
      <c r="AF1055" s="30"/>
      <c r="AG1055" s="30"/>
      <c r="AH1055" s="30"/>
      <c r="AI1055" s="30"/>
      <c r="AJ1055" s="30"/>
      <c r="AK1055" s="30"/>
      <c r="AL1055" s="30"/>
      <c r="AM1055" s="30"/>
      <c r="AN1055" s="30"/>
      <c r="AO1055" s="30"/>
      <c r="AP1055" s="30"/>
      <c r="AQ1055" s="30"/>
      <c r="AR1055" s="30"/>
      <c r="AS1055" s="30"/>
      <c r="AT1055" s="30"/>
      <c r="AU1055" s="30"/>
      <c r="AV1055" s="30"/>
      <c r="AW1055" s="30"/>
      <c r="AX1055" s="30"/>
      <c r="AY1055" s="30"/>
      <c r="AZ1055" s="30"/>
      <c r="BA1055" s="30"/>
      <c r="BB1055" s="30"/>
      <c r="BC1055" s="30"/>
      <c r="BD1055" s="30"/>
      <c r="BE1055" s="30"/>
      <c r="BF1055" s="30"/>
      <c r="BG1055" s="30"/>
      <c r="BH1055" s="30"/>
      <c r="BI1055" s="30"/>
      <c r="BJ1055" s="30"/>
      <c r="BK1055" s="30"/>
      <c r="BL1055" s="30"/>
      <c r="BM1055" s="30"/>
      <c r="BN1055" s="31"/>
    </row>
    <row r="1056" spans="2:66" ht="11.25" customHeight="1">
      <c r="B1056" s="2"/>
      <c r="AI1056" s="4" t="s">
        <v>38</v>
      </c>
      <c r="BN1056" s="3"/>
    </row>
    <row r="1057" spans="2:66" ht="11.25" customHeight="1">
      <c r="B1057" s="2"/>
      <c r="AG1057" s="13">
        <f>-P1058*Q1078^2/(8*Q1064)</f>
        <v>-23.73046875</v>
      </c>
      <c r="AH1057" s="13"/>
      <c r="AI1057" s="13"/>
      <c r="BN1057" s="3"/>
    </row>
    <row r="1058" spans="2:66" ht="11.25" customHeight="1">
      <c r="B1058" s="2"/>
      <c r="P1058" s="26">
        <v>15</v>
      </c>
      <c r="Q1058" s="26"/>
      <c r="R1058" s="1" t="s">
        <v>5</v>
      </c>
      <c r="AP1058" s="13">
        <f>+W1064/P1058</f>
        <v>1.8984375</v>
      </c>
      <c r="AQ1058" s="13"/>
      <c r="AR1058" s="1" t="s">
        <v>0</v>
      </c>
      <c r="BN1058" s="3"/>
    </row>
    <row r="1059" spans="2:66" ht="11.25" customHeight="1">
      <c r="B1059" s="2"/>
      <c r="BN1059" s="3"/>
    </row>
    <row r="1060" spans="2:66" ht="11.25" customHeight="1">
      <c r="B1060" s="2"/>
      <c r="Z1060" s="13">
        <f>+H1072</f>
        <v>6.7801339285714288</v>
      </c>
      <c r="AA1060" s="13"/>
      <c r="AB1060" s="1" t="s">
        <v>8</v>
      </c>
      <c r="AD1060" s="13">
        <f>+AG1057</f>
        <v>-23.73046875</v>
      </c>
      <c r="AE1060" s="13"/>
      <c r="AF1060" s="13"/>
      <c r="BN1060" s="3"/>
    </row>
    <row r="1061" spans="2:66" ht="11.25" customHeight="1">
      <c r="B1061" s="2"/>
      <c r="P1061" s="5" t="s">
        <v>4</v>
      </c>
      <c r="Q1061" s="26">
        <v>351</v>
      </c>
      <c r="R1061" s="26"/>
      <c r="S1061" s="26"/>
      <c r="T1061" s="1" t="s">
        <v>3</v>
      </c>
      <c r="BN1061" s="3"/>
    </row>
    <row r="1062" spans="2:66" ht="11.25" customHeight="1">
      <c r="B1062" s="2"/>
      <c r="BN1062" s="3"/>
    </row>
    <row r="1063" spans="2:66" ht="11.25" customHeight="1">
      <c r="B1063" s="2"/>
      <c r="L1063" s="24" t="s">
        <v>3</v>
      </c>
      <c r="P1063" s="1" t="s">
        <v>6</v>
      </c>
      <c r="Q1063" s="13">
        <f>+Q1061/L1065*G1065/Q1078</f>
        <v>0.60000000000000009</v>
      </c>
      <c r="R1063" s="13"/>
      <c r="BN1063" s="3"/>
    </row>
    <row r="1064" spans="2:66" ht="11.25" customHeight="1">
      <c r="B1064" s="2"/>
      <c r="G1064" s="6" t="s">
        <v>0</v>
      </c>
      <c r="L1064" s="24"/>
      <c r="P1064" s="1" t="s">
        <v>7</v>
      </c>
      <c r="Q1064" s="13">
        <f>Q1063+1</f>
        <v>1.6</v>
      </c>
      <c r="R1064" s="13"/>
      <c r="W1064" s="13">
        <f>P1058*Q1078/2+AG1057/Q1078</f>
        <v>28.4765625</v>
      </c>
      <c r="X1064" s="13"/>
      <c r="Y1064" s="1" t="s">
        <v>8</v>
      </c>
      <c r="AM1064" s="13">
        <f>W1064*AP1058/2</f>
        <v>27.030487060546875</v>
      </c>
      <c r="AN1064" s="13"/>
      <c r="AO1064" s="13"/>
      <c r="BN1064" s="3"/>
    </row>
    <row r="1065" spans="2:66" ht="11.25" customHeight="1">
      <c r="B1065" s="2"/>
      <c r="G1065" s="23">
        <v>3.5</v>
      </c>
      <c r="L1065" s="23">
        <v>455</v>
      </c>
      <c r="BN1065" s="3"/>
    </row>
    <row r="1066" spans="2:66" ht="11.25" customHeight="1">
      <c r="B1066" s="2"/>
      <c r="G1066" s="23"/>
      <c r="L1066" s="23"/>
      <c r="BN1066" s="3"/>
    </row>
    <row r="1067" spans="2:66" ht="11.25" customHeight="1">
      <c r="B1067" s="2"/>
      <c r="G1067" s="23"/>
      <c r="L1067" s="23"/>
      <c r="AJ1067" s="1" t="s">
        <v>39</v>
      </c>
      <c r="BN1067" s="3"/>
    </row>
    <row r="1068" spans="2:66" ht="11.25" customHeight="1">
      <c r="B1068" s="2"/>
      <c r="G1068" s="24" t="s">
        <v>1</v>
      </c>
      <c r="L1068" s="23"/>
      <c r="BN1068" s="3"/>
    </row>
    <row r="1069" spans="2:66" ht="11.25" customHeight="1">
      <c r="B1069" s="2"/>
      <c r="G1069" s="24"/>
      <c r="L1069" s="25" t="s">
        <v>4</v>
      </c>
      <c r="BN1069" s="3"/>
    </row>
    <row r="1070" spans="2:66" ht="11.25" customHeight="1">
      <c r="B1070" s="2"/>
      <c r="L1070" s="24"/>
      <c r="BN1070" s="3"/>
    </row>
    <row r="1071" spans="2:66" ht="11.25" customHeight="1">
      <c r="B1071" s="2"/>
      <c r="BN1071" s="3"/>
    </row>
    <row r="1072" spans="2:66" ht="11.25" customHeight="1">
      <c r="B1072" s="2"/>
      <c r="H1072" s="13">
        <f>-AG1057/G1065</f>
        <v>6.7801339285714288</v>
      </c>
      <c r="I1072" s="13"/>
      <c r="J1072" s="1" t="s">
        <v>8</v>
      </c>
      <c r="BN1072" s="3"/>
    </row>
    <row r="1073" spans="2:66" ht="11.25" customHeight="1">
      <c r="B1073" s="2"/>
      <c r="BN1073" s="3"/>
    </row>
    <row r="1074" spans="2:66" ht="11.25" customHeight="1">
      <c r="B1074" s="2"/>
      <c r="BN1074" s="3"/>
    </row>
    <row r="1075" spans="2:66" ht="11.25" customHeight="1">
      <c r="B1075" s="2"/>
      <c r="BN1075" s="3"/>
    </row>
    <row r="1076" spans="2:66" ht="11.25" customHeight="1">
      <c r="B1076" s="2"/>
      <c r="K1076" s="13">
        <f>P1058*Q1078/2-AG1057/Q1078</f>
        <v>39.0234375</v>
      </c>
      <c r="L1076" s="13"/>
      <c r="M1076" s="1" t="s">
        <v>8</v>
      </c>
      <c r="BN1076" s="3"/>
    </row>
    <row r="1077" spans="2:66" ht="11.25" customHeight="1">
      <c r="B1077" s="2"/>
      <c r="BN1077" s="3"/>
    </row>
    <row r="1078" spans="2:66" ht="11.25" customHeight="1">
      <c r="B1078" s="2"/>
      <c r="P1078" s="1" t="s">
        <v>2</v>
      </c>
      <c r="Q1078" s="26">
        <v>4.5</v>
      </c>
      <c r="R1078" s="26"/>
      <c r="S1078" s="1" t="s">
        <v>0</v>
      </c>
      <c r="BN1078" s="3"/>
    </row>
    <row r="1079" spans="2:66" ht="11.25" customHeight="1">
      <c r="B1079" s="2"/>
      <c r="BN1079" s="3"/>
    </row>
    <row r="1080" spans="2:66" ht="11.25" customHeight="1">
      <c r="B1080" s="2"/>
      <c r="BN1080" s="3"/>
    </row>
    <row r="1081" spans="2:66" ht="11.25" customHeight="1">
      <c r="B1081" s="2"/>
      <c r="AG1081" s="13">
        <f>-I1090*G1089^2*Q1087/(8*Q1088)</f>
        <v>-8.61328125</v>
      </c>
      <c r="AH1081" s="13"/>
      <c r="AI1081" s="13"/>
      <c r="BN1081" s="3"/>
    </row>
    <row r="1082" spans="2:66" ht="11.25" customHeight="1">
      <c r="B1082" s="2"/>
      <c r="BN1082" s="3"/>
    </row>
    <row r="1083" spans="2:66" ht="11.25" customHeight="1">
      <c r="B1083" s="2"/>
      <c r="BN1083" s="3"/>
    </row>
    <row r="1084" spans="2:66" ht="11.25" customHeight="1">
      <c r="B1084" s="2"/>
      <c r="Z1084" s="13">
        <f>I1090*G1089/2-AG1081/G1089</f>
        <v>28.7109375</v>
      </c>
      <c r="AA1084" s="13"/>
      <c r="AB1084" s="1" t="s">
        <v>8</v>
      </c>
      <c r="AD1084" s="13">
        <f>+AG1081</f>
        <v>-8.61328125</v>
      </c>
      <c r="AE1084" s="13"/>
      <c r="AF1084" s="13"/>
      <c r="BN1084" s="3"/>
    </row>
    <row r="1085" spans="2:66" ht="11.25" customHeight="1">
      <c r="B1085" s="2"/>
      <c r="P1085" s="5" t="s">
        <v>4</v>
      </c>
      <c r="Q1085" s="26">
        <v>351</v>
      </c>
      <c r="R1085" s="26"/>
      <c r="S1085" s="26"/>
      <c r="T1085" s="1" t="s">
        <v>3</v>
      </c>
      <c r="BN1085" s="3"/>
    </row>
    <row r="1086" spans="2:66" ht="11.25" customHeight="1">
      <c r="B1086" s="2"/>
      <c r="BN1086" s="3"/>
    </row>
    <row r="1087" spans="2:66" ht="11.25" customHeight="1">
      <c r="B1087" s="2"/>
      <c r="I1087" s="24" t="s">
        <v>5</v>
      </c>
      <c r="L1087" s="24" t="s">
        <v>3</v>
      </c>
      <c r="P1087" s="1" t="s">
        <v>6</v>
      </c>
      <c r="Q1087" s="13">
        <f>+Q1085/L1089*G1089/Q1102</f>
        <v>0.60000000000000009</v>
      </c>
      <c r="R1087" s="13"/>
      <c r="AK1087" s="1" t="s">
        <v>39</v>
      </c>
      <c r="BN1087" s="3"/>
    </row>
    <row r="1088" spans="2:66" ht="11.25" customHeight="1">
      <c r="B1088" s="2"/>
      <c r="G1088" s="6" t="s">
        <v>0</v>
      </c>
      <c r="I1088" s="24"/>
      <c r="L1088" s="24"/>
      <c r="P1088" s="1" t="s">
        <v>7</v>
      </c>
      <c r="Q1088" s="13">
        <f>Q1087+1</f>
        <v>1.6</v>
      </c>
      <c r="R1088" s="13"/>
      <c r="W1088" s="13">
        <f>+K1100</f>
        <v>1.9140625</v>
      </c>
      <c r="X1088" s="13"/>
      <c r="Y1088" s="1" t="s">
        <v>8</v>
      </c>
      <c r="BN1088" s="3"/>
    </row>
    <row r="1089" spans="2:66" ht="11.25" customHeight="1">
      <c r="B1089" s="2"/>
      <c r="G1089" s="23">
        <v>3.5</v>
      </c>
      <c r="I1089" s="24"/>
      <c r="L1089" s="23">
        <v>455</v>
      </c>
      <c r="BN1089" s="3"/>
    </row>
    <row r="1090" spans="2:66" ht="11.25" customHeight="1">
      <c r="B1090" s="2"/>
      <c r="G1090" s="23"/>
      <c r="I1090" s="23">
        <v>15</v>
      </c>
      <c r="L1090" s="23"/>
      <c r="BN1090" s="3"/>
    </row>
    <row r="1091" spans="2:66" ht="11.25" customHeight="1">
      <c r="B1091" s="2"/>
      <c r="G1091" s="23"/>
      <c r="I1091" s="23"/>
      <c r="L1091" s="23"/>
      <c r="AM1091" s="13">
        <f>I1090*AE1093*(G1089-AE1093)/2+AE1093/G1089*AD1084</f>
        <v>18.766406249999999</v>
      </c>
      <c r="AN1091" s="13"/>
      <c r="AO1091" s="13"/>
      <c r="BN1091" s="3"/>
    </row>
    <row r="1092" spans="2:66" ht="11.25" customHeight="1">
      <c r="B1092" s="2"/>
      <c r="G1092" s="24" t="s">
        <v>1</v>
      </c>
      <c r="I1092" s="23"/>
      <c r="L1092" s="23"/>
      <c r="AE1092" s="6" t="s">
        <v>0</v>
      </c>
      <c r="BN1092" s="3"/>
    </row>
    <row r="1093" spans="2:66" ht="11.25" customHeight="1">
      <c r="B1093" s="2"/>
      <c r="G1093" s="24"/>
      <c r="L1093" s="25" t="s">
        <v>4</v>
      </c>
      <c r="AD1093" s="12" t="str">
        <f>IF(G1089&gt;AE1093,"","azalt.")</f>
        <v/>
      </c>
      <c r="AE1093" s="23">
        <v>1.7</v>
      </c>
      <c r="BN1093" s="3"/>
    </row>
    <row r="1094" spans="2:66" ht="11.25" customHeight="1">
      <c r="B1094" s="2"/>
      <c r="L1094" s="24"/>
      <c r="AD1094" s="12"/>
      <c r="AE1094" s="23"/>
      <c r="BN1094" s="3"/>
    </row>
    <row r="1095" spans="2:66" ht="11.25" customHeight="1">
      <c r="B1095" s="2"/>
      <c r="AD1095" s="12"/>
      <c r="AE1095" s="23"/>
      <c r="BN1095" s="3"/>
    </row>
    <row r="1096" spans="2:66" ht="11.25" customHeight="1">
      <c r="B1096" s="2"/>
      <c r="N1096" s="13">
        <f>-(-I1090*G1089/2-AG1081/G1089)</f>
        <v>23.7890625</v>
      </c>
      <c r="O1096" s="13"/>
      <c r="P1096" s="1" t="s">
        <v>8</v>
      </c>
      <c r="BN1096" s="3"/>
    </row>
    <row r="1097" spans="2:66" ht="11.25" customHeight="1">
      <c r="B1097" s="2"/>
      <c r="BN1097" s="3"/>
    </row>
    <row r="1098" spans="2:66" ht="11.25" customHeight="1">
      <c r="B1098" s="2"/>
      <c r="BN1098" s="3"/>
    </row>
    <row r="1099" spans="2:66" ht="11.25" customHeight="1">
      <c r="B1099" s="2"/>
      <c r="BN1099" s="3"/>
    </row>
    <row r="1100" spans="2:66" ht="11.25" customHeight="1">
      <c r="B1100" s="2"/>
      <c r="K1100" s="13">
        <f>-AG1081/Q1102</f>
        <v>1.9140625</v>
      </c>
      <c r="L1100" s="13"/>
      <c r="M1100" s="1" t="s">
        <v>8</v>
      </c>
      <c r="BN1100" s="3"/>
    </row>
    <row r="1101" spans="2:66" ht="11.25" customHeight="1">
      <c r="B1101" s="2"/>
      <c r="BN1101" s="3"/>
    </row>
    <row r="1102" spans="2:66" ht="11.25" customHeight="1">
      <c r="B1102" s="2"/>
      <c r="P1102" s="1" t="s">
        <v>2</v>
      </c>
      <c r="Q1102" s="26">
        <v>4.5</v>
      </c>
      <c r="R1102" s="26"/>
      <c r="S1102" s="1" t="s">
        <v>0</v>
      </c>
      <c r="BN1102" s="3"/>
    </row>
    <row r="1103" spans="2:66" ht="11.25" customHeight="1" thickBot="1">
      <c r="B1103" s="8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  <c r="BF1103" s="9"/>
      <c r="BG1103" s="9"/>
      <c r="BH1103" s="9"/>
      <c r="BI1103" s="9"/>
      <c r="BJ1103" s="9"/>
      <c r="BK1103" s="9"/>
      <c r="BL1103" s="9"/>
      <c r="BM1103" s="9"/>
      <c r="BN1103" s="10"/>
    </row>
    <row r="1104" spans="2:66" ht="11.25" customHeight="1" thickBot="1"/>
    <row r="1105" spans="2:66" ht="45.75" customHeight="1">
      <c r="B1105" s="29" t="s">
        <v>45</v>
      </c>
      <c r="C1105" s="30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30"/>
      <c r="X1105" s="30"/>
      <c r="Y1105" s="30"/>
      <c r="Z1105" s="30"/>
      <c r="AA1105" s="30"/>
      <c r="AB1105" s="30"/>
      <c r="AC1105" s="30"/>
      <c r="AD1105" s="30"/>
      <c r="AE1105" s="30"/>
      <c r="AF1105" s="30"/>
      <c r="AG1105" s="30"/>
      <c r="AH1105" s="30"/>
      <c r="AI1105" s="30"/>
      <c r="AJ1105" s="30"/>
      <c r="AK1105" s="30"/>
      <c r="AL1105" s="30"/>
      <c r="AM1105" s="30"/>
      <c r="AN1105" s="30"/>
      <c r="AO1105" s="30"/>
      <c r="AP1105" s="30"/>
      <c r="AQ1105" s="30"/>
      <c r="AR1105" s="30"/>
      <c r="AS1105" s="30"/>
      <c r="AT1105" s="30"/>
      <c r="AU1105" s="30"/>
      <c r="AV1105" s="30"/>
      <c r="AW1105" s="30"/>
      <c r="AX1105" s="30"/>
      <c r="AY1105" s="30"/>
      <c r="AZ1105" s="30"/>
      <c r="BA1105" s="30"/>
      <c r="BB1105" s="30"/>
      <c r="BC1105" s="30"/>
      <c r="BD1105" s="30"/>
      <c r="BE1105" s="30"/>
      <c r="BF1105" s="30"/>
      <c r="BG1105" s="30"/>
      <c r="BH1105" s="30"/>
      <c r="BI1105" s="30"/>
      <c r="BJ1105" s="30"/>
      <c r="BK1105" s="30"/>
      <c r="BL1105" s="30"/>
      <c r="BM1105" s="30"/>
      <c r="BN1105" s="31"/>
    </row>
    <row r="1106" spans="2:66" ht="11.25" customHeight="1">
      <c r="B1106" s="2"/>
      <c r="AI1106" s="4" t="s">
        <v>38</v>
      </c>
      <c r="BN1106" s="3"/>
    </row>
    <row r="1107" spans="2:66" ht="11.25" customHeight="1">
      <c r="B1107" s="2"/>
      <c r="AR1107" s="13">
        <f>-P1109*Q1129^2*(3*Q1114+2)/(24*Q1115)</f>
        <v>-30.058593749999996</v>
      </c>
      <c r="AS1107" s="13"/>
      <c r="AT1107" s="13"/>
      <c r="BN1107" s="3"/>
    </row>
    <row r="1108" spans="2:66" ht="11.25" customHeight="1">
      <c r="B1108" s="2"/>
      <c r="BN1108" s="3"/>
    </row>
    <row r="1109" spans="2:66" ht="11.25" customHeight="1">
      <c r="B1109" s="2"/>
      <c r="P1109" s="26">
        <v>15</v>
      </c>
      <c r="Q1109" s="26"/>
      <c r="R1109" s="1" t="s">
        <v>5</v>
      </c>
      <c r="AG1109" s="13">
        <f>-P1109*Q1129^2/(12*Q1115)</f>
        <v>-15.820312499999998</v>
      </c>
      <c r="AH1109" s="13"/>
      <c r="AI1109" s="13"/>
      <c r="BN1109" s="3"/>
    </row>
    <row r="1110" spans="2:66" ht="11.25" customHeight="1">
      <c r="B1110" s="2"/>
      <c r="BN1110" s="3"/>
    </row>
    <row r="1111" spans="2:66" ht="11.25" customHeight="1">
      <c r="B1111" s="2"/>
      <c r="Z1111" s="13">
        <f>+H1123</f>
        <v>6.7801339285714279</v>
      </c>
      <c r="AA1111" s="13"/>
      <c r="AB1111" s="1" t="s">
        <v>8</v>
      </c>
      <c r="AD1111" s="13">
        <f>+AG1109</f>
        <v>-15.820312499999998</v>
      </c>
      <c r="AE1111" s="13"/>
      <c r="AF1111" s="13"/>
      <c r="BN1111" s="3"/>
    </row>
    <row r="1112" spans="2:66" ht="11.25" customHeight="1">
      <c r="B1112" s="2"/>
      <c r="P1112" s="5" t="s">
        <v>4</v>
      </c>
      <c r="Q1112" s="26">
        <v>351</v>
      </c>
      <c r="R1112" s="26"/>
      <c r="S1112" s="26"/>
      <c r="T1112" s="1" t="s">
        <v>3</v>
      </c>
      <c r="BN1112" s="3"/>
    </row>
    <row r="1113" spans="2:66" ht="11.25" customHeight="1">
      <c r="B1113" s="2"/>
      <c r="Y1113" s="13">
        <f>-AR1107</f>
        <v>30.058593749999996</v>
      </c>
      <c r="Z1113" s="13"/>
      <c r="AA1113" s="13"/>
      <c r="AB1113" s="1" t="s">
        <v>11</v>
      </c>
      <c r="BN1113" s="3"/>
    </row>
    <row r="1114" spans="2:66" ht="11.25" customHeight="1">
      <c r="B1114" s="2"/>
      <c r="L1114" s="24" t="s">
        <v>3</v>
      </c>
      <c r="P1114" s="1" t="s">
        <v>6</v>
      </c>
      <c r="Q1114" s="13">
        <f>+Q1112/L1116*G1116/Q1129</f>
        <v>0.60000000000000009</v>
      </c>
      <c r="R1114" s="13"/>
      <c r="BN1114" s="3"/>
    </row>
    <row r="1115" spans="2:66" ht="11.25" customHeight="1">
      <c r="B1115" s="2"/>
      <c r="G1115" s="6" t="s">
        <v>0</v>
      </c>
      <c r="L1115" s="24"/>
      <c r="P1115" s="1" t="s">
        <v>7</v>
      </c>
      <c r="Q1115" s="13">
        <f>Q1114+1</f>
        <v>1.6</v>
      </c>
      <c r="R1115" s="13"/>
      <c r="W1115" s="13">
        <f>P1109*Q1129/2+(AG1109-AR1107)/Q1129</f>
        <v>36.9140625</v>
      </c>
      <c r="X1115" s="13"/>
      <c r="Y1115" s="1" t="s">
        <v>8</v>
      </c>
      <c r="AL1115" s="13">
        <f>K1127*AJ1119/2+AG1109</f>
        <v>15.363006591796877</v>
      </c>
      <c r="AM1115" s="13"/>
      <c r="AN1115" s="13"/>
      <c r="BN1115" s="3"/>
    </row>
    <row r="1116" spans="2:66" ht="11.25" customHeight="1">
      <c r="B1116" s="2"/>
      <c r="G1116" s="23">
        <v>3.5</v>
      </c>
      <c r="L1116" s="23">
        <v>455</v>
      </c>
      <c r="BN1116" s="3"/>
    </row>
    <row r="1117" spans="2:66" ht="11.25" customHeight="1">
      <c r="B1117" s="2"/>
      <c r="G1117" s="23"/>
      <c r="L1117" s="23"/>
      <c r="BN1117" s="3"/>
    </row>
    <row r="1118" spans="2:66" ht="11.25" customHeight="1">
      <c r="B1118" s="2"/>
      <c r="G1118" s="23"/>
      <c r="L1118" s="23"/>
      <c r="BN1118" s="3"/>
    </row>
    <row r="1119" spans="2:66" ht="11.25" customHeight="1">
      <c r="B1119" s="2"/>
      <c r="G1119" s="24" t="s">
        <v>1</v>
      </c>
      <c r="L1119" s="23"/>
      <c r="AJ1119" s="13">
        <f>K1127/P1109</f>
        <v>2.0390625</v>
      </c>
      <c r="AK1119" s="13"/>
      <c r="AL1119" s="1" t="s">
        <v>0</v>
      </c>
      <c r="BN1119" s="3"/>
    </row>
    <row r="1120" spans="2:66" ht="11.25" customHeight="1">
      <c r="B1120" s="2"/>
      <c r="G1120" s="24"/>
      <c r="L1120" s="25" t="s">
        <v>4</v>
      </c>
      <c r="BN1120" s="3"/>
    </row>
    <row r="1121" spans="2:66" ht="11.25" customHeight="1">
      <c r="B1121" s="2"/>
      <c r="L1121" s="24"/>
      <c r="AK1121" s="1" t="s">
        <v>39</v>
      </c>
      <c r="BN1121" s="3"/>
    </row>
    <row r="1122" spans="2:66" ht="11.25" customHeight="1">
      <c r="B1122" s="2"/>
      <c r="BN1122" s="3"/>
    </row>
    <row r="1123" spans="2:66" ht="11.25" customHeight="1">
      <c r="B1123" s="2"/>
      <c r="H1123" s="13">
        <f>3*AJ1123/G1116</f>
        <v>6.7801339285714279</v>
      </c>
      <c r="I1123" s="13"/>
      <c r="J1123" s="1" t="s">
        <v>8</v>
      </c>
      <c r="AJ1123" s="13">
        <f>-AG1109/2</f>
        <v>7.9101562499999991</v>
      </c>
      <c r="AK1123" s="13"/>
      <c r="AL1123" s="13"/>
      <c r="BN1123" s="3"/>
    </row>
    <row r="1124" spans="2:66" ht="11.25" customHeight="1">
      <c r="B1124" s="2"/>
      <c r="BN1124" s="3"/>
    </row>
    <row r="1125" spans="2:66" ht="11.25" customHeight="1">
      <c r="B1125" s="2"/>
      <c r="G1125" s="13">
        <f>+AJ1123</f>
        <v>7.9101562499999991</v>
      </c>
      <c r="H1125" s="13"/>
      <c r="I1125" s="13"/>
      <c r="J1125" s="1" t="s">
        <v>11</v>
      </c>
      <c r="BN1125" s="3"/>
    </row>
    <row r="1126" spans="2:66" ht="11.25" customHeight="1">
      <c r="B1126" s="2"/>
      <c r="BN1126" s="3"/>
    </row>
    <row r="1127" spans="2:66" ht="11.25" customHeight="1">
      <c r="B1127" s="2"/>
      <c r="K1127" s="13">
        <f>P1109*Q1129/2-(AG1109-AR1107)/Q1129</f>
        <v>30.5859375</v>
      </c>
      <c r="L1127" s="13"/>
      <c r="M1127" s="1" t="s">
        <v>8</v>
      </c>
      <c r="BN1127" s="3"/>
    </row>
    <row r="1128" spans="2:66" ht="11.25" customHeight="1">
      <c r="B1128" s="2"/>
      <c r="BN1128" s="3"/>
    </row>
    <row r="1129" spans="2:66" ht="11.25" customHeight="1">
      <c r="B1129" s="2"/>
      <c r="P1129" s="1" t="s">
        <v>2</v>
      </c>
      <c r="Q1129" s="26">
        <v>4.5</v>
      </c>
      <c r="R1129" s="26"/>
      <c r="S1129" s="1" t="s">
        <v>0</v>
      </c>
      <c r="BN1129" s="3"/>
    </row>
    <row r="1130" spans="2:66" ht="11.25" customHeight="1">
      <c r="B1130" s="2"/>
      <c r="BN1130" s="3"/>
    </row>
    <row r="1131" spans="2:66" ht="11.25" customHeight="1">
      <c r="B1131" s="2"/>
      <c r="AG1131" s="13">
        <f>-I1139*G1138^2*Q1136/(12*Q1137)</f>
        <v>-5.7421875</v>
      </c>
      <c r="AH1131" s="13"/>
      <c r="AI1131" s="13"/>
      <c r="BN1131" s="3"/>
    </row>
    <row r="1132" spans="2:66" ht="11.25" customHeight="1">
      <c r="B1132" s="2"/>
      <c r="Y1132" s="13">
        <f>+AR1136</f>
        <v>2.87109375</v>
      </c>
      <c r="Z1132" s="13"/>
      <c r="AA1132" s="13"/>
      <c r="AB1132" s="1" t="s">
        <v>11</v>
      </c>
      <c r="BN1132" s="3"/>
    </row>
    <row r="1133" spans="2:66" ht="11.25" customHeight="1">
      <c r="B1133" s="2"/>
      <c r="Z1133" s="13">
        <f>I1139*G1138/2+(AC1146-AD1133)/G1138</f>
        <v>22.1484375</v>
      </c>
      <c r="AA1133" s="13"/>
      <c r="AB1133" s="1" t="s">
        <v>8</v>
      </c>
      <c r="AD1133" s="13">
        <f>+AG1131</f>
        <v>-5.7421875</v>
      </c>
      <c r="AE1133" s="13"/>
      <c r="AF1133" s="13"/>
      <c r="BN1133" s="3"/>
    </row>
    <row r="1134" spans="2:66" ht="11.25" customHeight="1">
      <c r="B1134" s="2"/>
      <c r="P1134" s="5" t="s">
        <v>4</v>
      </c>
      <c r="Q1134" s="26">
        <v>351</v>
      </c>
      <c r="R1134" s="26"/>
      <c r="S1134" s="26"/>
      <c r="T1134" s="1" t="s">
        <v>3</v>
      </c>
      <c r="BN1134" s="3"/>
    </row>
    <row r="1135" spans="2:66" ht="11.25" customHeight="1">
      <c r="B1135" s="2"/>
      <c r="BN1135" s="3"/>
    </row>
    <row r="1136" spans="2:66" ht="11.25" customHeight="1">
      <c r="B1136" s="2"/>
      <c r="I1136" s="24" t="s">
        <v>5</v>
      </c>
      <c r="L1136" s="24" t="s">
        <v>3</v>
      </c>
      <c r="P1136" s="1" t="s">
        <v>6</v>
      </c>
      <c r="Q1136" s="13">
        <f>+Q1134/L1138*G1138/Q1151</f>
        <v>0.60000000000000009</v>
      </c>
      <c r="R1136" s="13"/>
      <c r="AR1136" s="13">
        <f>-AG1131/2</f>
        <v>2.87109375</v>
      </c>
      <c r="AS1136" s="13"/>
      <c r="AT1136" s="13"/>
      <c r="BN1136" s="3"/>
    </row>
    <row r="1137" spans="2:66" ht="11.25" customHeight="1">
      <c r="B1137" s="2"/>
      <c r="G1137" s="6" t="s">
        <v>0</v>
      </c>
      <c r="I1137" s="24"/>
      <c r="L1137" s="24"/>
      <c r="P1137" s="1" t="s">
        <v>7</v>
      </c>
      <c r="Q1137" s="13">
        <f>Q1136+1</f>
        <v>1.6</v>
      </c>
      <c r="R1137" s="13"/>
      <c r="W1137" s="13">
        <f>+K1149</f>
        <v>1.9140625</v>
      </c>
      <c r="X1137" s="13"/>
      <c r="Y1137" s="1" t="s">
        <v>8</v>
      </c>
      <c r="AL1137" s="1" t="s">
        <v>39</v>
      </c>
      <c r="BN1137" s="3"/>
    </row>
    <row r="1138" spans="2:66" ht="11.25" customHeight="1">
      <c r="B1138" s="2"/>
      <c r="G1138" s="23">
        <v>3.5</v>
      </c>
      <c r="I1138" s="24"/>
      <c r="L1138" s="23">
        <v>455</v>
      </c>
      <c r="BN1138" s="3"/>
    </row>
    <row r="1139" spans="2:66" ht="11.25" customHeight="1">
      <c r="B1139" s="2"/>
      <c r="G1139" s="23"/>
      <c r="I1139" s="23">
        <v>15</v>
      </c>
      <c r="L1139" s="23"/>
      <c r="BN1139" s="3"/>
    </row>
    <row r="1140" spans="2:66" ht="11.25" customHeight="1">
      <c r="B1140" s="2"/>
      <c r="G1140" s="23"/>
      <c r="I1140" s="23"/>
      <c r="L1140" s="23"/>
      <c r="AK1140" s="13">
        <f>I1139*AO1142*(G1138-AO1142)/2+(G1138-AO1142)/G1138*AC1146+AO1142/G1138*AD1133</f>
        <v>10.605468750000002</v>
      </c>
      <c r="AL1140" s="13"/>
      <c r="AM1140" s="13"/>
      <c r="BN1140" s="3"/>
    </row>
    <row r="1141" spans="2:66" ht="11.25" customHeight="1">
      <c r="B1141" s="2"/>
      <c r="G1141" s="24" t="s">
        <v>1</v>
      </c>
      <c r="I1141" s="23"/>
      <c r="L1141" s="23"/>
      <c r="AO1141" s="6" t="s">
        <v>0</v>
      </c>
      <c r="BN1141" s="3"/>
    </row>
    <row r="1142" spans="2:66" ht="11.25" customHeight="1">
      <c r="B1142" s="2"/>
      <c r="G1142" s="24"/>
      <c r="L1142" s="25" t="s">
        <v>4</v>
      </c>
      <c r="AN1142" s="12" t="str">
        <f>IF(G1138&gt;AO1142,"","azalt.")</f>
        <v/>
      </c>
      <c r="AO1142" s="23">
        <v>2</v>
      </c>
      <c r="BN1142" s="3"/>
    </row>
    <row r="1143" spans="2:66" ht="11.25" customHeight="1">
      <c r="B1143" s="2"/>
      <c r="L1143" s="24"/>
      <c r="AN1143" s="12"/>
      <c r="AO1143" s="23"/>
      <c r="BN1143" s="3"/>
    </row>
    <row r="1144" spans="2:66" ht="11.25" customHeight="1">
      <c r="B1144" s="2"/>
      <c r="AN1144" s="12"/>
      <c r="AO1144" s="23"/>
      <c r="BN1144" s="3"/>
    </row>
    <row r="1145" spans="2:66" ht="11.25" customHeight="1">
      <c r="B1145" s="2"/>
      <c r="N1145" s="13">
        <f>(I1139*G1138-Z1133)</f>
        <v>30.3515625</v>
      </c>
      <c r="O1145" s="13"/>
      <c r="P1145" s="1" t="s">
        <v>8</v>
      </c>
      <c r="BN1145" s="3"/>
    </row>
    <row r="1146" spans="2:66" ht="11.25" customHeight="1">
      <c r="B1146" s="2"/>
      <c r="AC1146" s="13">
        <f>-I1139*G1138^2*(2*Q1136+3)/(24*Q1137)</f>
        <v>-20.097656249999996</v>
      </c>
      <c r="AD1146" s="13"/>
      <c r="AE1146" s="13"/>
      <c r="BN1146" s="3"/>
    </row>
    <row r="1147" spans="2:66" ht="11.25" customHeight="1">
      <c r="B1147" s="2"/>
      <c r="M1147" s="13">
        <f>-AC1146</f>
        <v>20.097656249999996</v>
      </c>
      <c r="N1147" s="13"/>
      <c r="O1147" s="13"/>
      <c r="P1147" s="1" t="s">
        <v>11</v>
      </c>
      <c r="BN1147" s="3"/>
    </row>
    <row r="1148" spans="2:66" ht="11.25" customHeight="1">
      <c r="B1148" s="2"/>
      <c r="BN1148" s="3"/>
    </row>
    <row r="1149" spans="2:66" ht="11.25" customHeight="1">
      <c r="B1149" s="2"/>
      <c r="K1149" s="13">
        <f>3*AR1136/Q1151</f>
        <v>1.9140625</v>
      </c>
      <c r="L1149" s="13"/>
      <c r="M1149" s="1" t="s">
        <v>8</v>
      </c>
      <c r="BN1149" s="3"/>
    </row>
    <row r="1150" spans="2:66" ht="11.25" customHeight="1">
      <c r="B1150" s="2"/>
      <c r="BN1150" s="3"/>
    </row>
    <row r="1151" spans="2:66" ht="11.25" customHeight="1">
      <c r="B1151" s="2"/>
      <c r="P1151" s="1" t="s">
        <v>2</v>
      </c>
      <c r="Q1151" s="26">
        <v>4.5</v>
      </c>
      <c r="R1151" s="26"/>
      <c r="S1151" s="1" t="s">
        <v>0</v>
      </c>
      <c r="BN1151" s="3"/>
    </row>
    <row r="1152" spans="2:66" ht="11.25" customHeight="1" thickBot="1">
      <c r="B1152" s="8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  <c r="BF1152" s="9"/>
      <c r="BG1152" s="9"/>
      <c r="BH1152" s="9"/>
      <c r="BI1152" s="9"/>
      <c r="BJ1152" s="9"/>
      <c r="BK1152" s="9"/>
      <c r="BL1152" s="9"/>
      <c r="BM1152" s="9"/>
      <c r="BN1152" s="10"/>
    </row>
    <row r="1153" spans="2:66" ht="11.25" customHeight="1" thickBot="1"/>
    <row r="1154" spans="2:66" ht="45.75" customHeight="1">
      <c r="B1154" s="29" t="s">
        <v>44</v>
      </c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  <c r="AF1154" s="30"/>
      <c r="AG1154" s="30"/>
      <c r="AH1154" s="30"/>
      <c r="AI1154" s="30"/>
      <c r="AJ1154" s="30"/>
      <c r="AK1154" s="30"/>
      <c r="AL1154" s="30"/>
      <c r="AM1154" s="30"/>
      <c r="AN1154" s="30"/>
      <c r="AO1154" s="30"/>
      <c r="AP1154" s="30"/>
      <c r="AQ1154" s="30"/>
      <c r="AR1154" s="30"/>
      <c r="AS1154" s="30"/>
      <c r="AT1154" s="30"/>
      <c r="AU1154" s="30"/>
      <c r="AV1154" s="30"/>
      <c r="AW1154" s="30"/>
      <c r="AX1154" s="30"/>
      <c r="AY1154" s="30"/>
      <c r="AZ1154" s="30"/>
      <c r="BA1154" s="30"/>
      <c r="BB1154" s="30"/>
      <c r="BC1154" s="30"/>
      <c r="BD1154" s="30"/>
      <c r="BE1154" s="30"/>
      <c r="BF1154" s="30"/>
      <c r="BG1154" s="30"/>
      <c r="BH1154" s="30"/>
      <c r="BI1154" s="30"/>
      <c r="BJ1154" s="30"/>
      <c r="BK1154" s="30"/>
      <c r="BL1154" s="30"/>
      <c r="BM1154" s="30"/>
      <c r="BN1154" s="31"/>
    </row>
    <row r="1155" spans="2:66" ht="11.25" customHeight="1">
      <c r="B1155" s="2"/>
      <c r="AI1155" s="4" t="s">
        <v>38</v>
      </c>
      <c r="BN1155" s="3"/>
    </row>
    <row r="1156" spans="2:66">
      <c r="B1156" s="2"/>
      <c r="Q1156" s="26">
        <v>15</v>
      </c>
      <c r="R1156" s="26"/>
      <c r="S1156" s="1" t="s">
        <v>5</v>
      </c>
      <c r="BN1156" s="3"/>
    </row>
    <row r="1157" spans="2:66">
      <c r="B1157" s="2"/>
      <c r="AV1157" s="13">
        <f>-Q1156*R1177^2/32</f>
        <v>-9.4921875</v>
      </c>
      <c r="AW1157" s="13"/>
      <c r="AX1157" s="13"/>
      <c r="AZ1157" s="13">
        <f>+AV1157</f>
        <v>-9.4921875</v>
      </c>
      <c r="BA1157" s="13"/>
      <c r="BB1157" s="13"/>
      <c r="BN1157" s="3"/>
    </row>
    <row r="1158" spans="2:66">
      <c r="B1158" s="2"/>
      <c r="BN1158" s="3"/>
    </row>
    <row r="1159" spans="2:66">
      <c r="B1159" s="2"/>
      <c r="BN1159" s="3"/>
    </row>
    <row r="1160" spans="2:66">
      <c r="B1160" s="2"/>
      <c r="BN1160" s="3"/>
    </row>
    <row r="1161" spans="2:66">
      <c r="B1161" s="2"/>
      <c r="AR1161" s="13">
        <f>3*R1177/16</f>
        <v>0.84375</v>
      </c>
      <c r="AS1161" s="13"/>
      <c r="AT1161" s="1" t="s">
        <v>0</v>
      </c>
      <c r="BE1161" s="13">
        <f>+AR1161</f>
        <v>0.84375</v>
      </c>
      <c r="BF1161" s="13"/>
      <c r="BG1161" s="1" t="s">
        <v>0</v>
      </c>
      <c r="BN1161" s="3"/>
    </row>
    <row r="1162" spans="2:66">
      <c r="B1162" s="2"/>
      <c r="AD1162" s="6" t="s">
        <v>0</v>
      </c>
      <c r="BN1162" s="3"/>
    </row>
    <row r="1163" spans="2:66">
      <c r="B1163" s="2"/>
      <c r="AD1163" s="23">
        <v>3.5</v>
      </c>
      <c r="BN1163" s="3"/>
    </row>
    <row r="1164" spans="2:66">
      <c r="B1164" s="2"/>
      <c r="AD1164" s="23"/>
      <c r="BN1164" s="3"/>
    </row>
    <row r="1165" spans="2:66">
      <c r="B1165" s="2"/>
      <c r="AD1165" s="23"/>
      <c r="BN1165" s="3"/>
    </row>
    <row r="1166" spans="2:66">
      <c r="B1166" s="2"/>
      <c r="AD1166" s="24" t="s">
        <v>1</v>
      </c>
      <c r="BN1166" s="3"/>
    </row>
    <row r="1167" spans="2:66">
      <c r="B1167" s="2"/>
      <c r="AD1167" s="24"/>
      <c r="AW1167" s="13">
        <f>9*Q1156*R1177^2/512</f>
        <v>5.33935546875</v>
      </c>
      <c r="AX1167" s="13"/>
      <c r="AY1167" s="13"/>
      <c r="AZ1167" s="13">
        <f>+AW1167</f>
        <v>5.33935546875</v>
      </c>
      <c r="BA1167" s="13"/>
      <c r="BB1167" s="13"/>
      <c r="BN1167" s="3"/>
    </row>
    <row r="1168" spans="2:66">
      <c r="B1168" s="2"/>
      <c r="BN1168" s="3"/>
    </row>
    <row r="1169" spans="2:66">
      <c r="B1169" s="2"/>
      <c r="AW1169" s="1" t="s">
        <v>39</v>
      </c>
      <c r="BN1169" s="3"/>
    </row>
    <row r="1170" spans="2:66">
      <c r="B1170" s="2"/>
      <c r="E1170" s="13">
        <f>5*Q1156*R1177^2/(32*AD1163)</f>
        <v>13.560267857142858</v>
      </c>
      <c r="F1170" s="13"/>
      <c r="G1170" s="1" t="s">
        <v>8</v>
      </c>
      <c r="AA1170" s="1" t="s">
        <v>8</v>
      </c>
      <c r="AE1170" s="13">
        <f>+E1170</f>
        <v>13.560267857142858</v>
      </c>
      <c r="AF1170" s="13"/>
      <c r="AG1170" s="1" t="s">
        <v>8</v>
      </c>
      <c r="BN1170" s="3"/>
    </row>
    <row r="1171" spans="2:66">
      <c r="B1171" s="2"/>
      <c r="BN1171" s="3"/>
    </row>
    <row r="1172" spans="2:66">
      <c r="B1172" s="2"/>
      <c r="BN1172" s="3"/>
    </row>
    <row r="1173" spans="2:66">
      <c r="B1173" s="2"/>
      <c r="BN1173" s="3"/>
    </row>
    <row r="1174" spans="2:66">
      <c r="B1174" s="2"/>
      <c r="H1174" s="13">
        <f>Q1156*R1177/2</f>
        <v>33.75</v>
      </c>
      <c r="I1174" s="13"/>
      <c r="J1174" s="1" t="s">
        <v>8</v>
      </c>
      <c r="AB1174" s="13">
        <f>+H1174</f>
        <v>33.75</v>
      </c>
      <c r="AC1174" s="13"/>
      <c r="AD1174" s="1" t="s">
        <v>8</v>
      </c>
      <c r="BN1174" s="3"/>
    </row>
    <row r="1175" spans="2:66">
      <c r="B1175" s="2"/>
      <c r="M1175" s="13">
        <f>+R1177/2</f>
        <v>2.25</v>
      </c>
      <c r="N1175" s="13"/>
      <c r="O1175" s="1" t="s">
        <v>0</v>
      </c>
      <c r="W1175" s="13">
        <f>+R1177/2</f>
        <v>2.25</v>
      </c>
      <c r="X1175" s="13"/>
      <c r="Y1175" s="1" t="s">
        <v>0</v>
      </c>
      <c r="BN1175" s="3"/>
    </row>
    <row r="1176" spans="2:66">
      <c r="B1176" s="2"/>
      <c r="BN1176" s="3"/>
    </row>
    <row r="1177" spans="2:66">
      <c r="B1177" s="2"/>
      <c r="Q1177" s="1" t="s">
        <v>2</v>
      </c>
      <c r="R1177" s="26">
        <v>4.5</v>
      </c>
      <c r="S1177" s="26"/>
      <c r="T1177" s="1" t="s">
        <v>0</v>
      </c>
      <c r="BN1177" s="3"/>
    </row>
    <row r="1178" spans="2:66">
      <c r="B1178" s="2"/>
      <c r="BN1178" s="3"/>
    </row>
    <row r="1179" spans="2:66">
      <c r="B1179" s="2"/>
      <c r="BN1179" s="3"/>
    </row>
    <row r="1180" spans="2:66">
      <c r="B1180" s="2"/>
      <c r="M1180" s="26">
        <v>15</v>
      </c>
      <c r="N1180" s="26"/>
      <c r="O1180" s="1" t="s">
        <v>5</v>
      </c>
      <c r="BN1180" s="3"/>
    </row>
    <row r="1181" spans="2:66">
      <c r="B1181" s="2"/>
      <c r="AV1181" s="13">
        <f>-M1180*R1201^2/64</f>
        <v>-4.74609375</v>
      </c>
      <c r="AW1181" s="13"/>
      <c r="AX1181" s="13"/>
      <c r="AZ1181" s="13">
        <f>+AV1181</f>
        <v>-4.74609375</v>
      </c>
      <c r="BA1181" s="13"/>
      <c r="BB1181" s="13"/>
      <c r="BN1181" s="3"/>
    </row>
    <row r="1182" spans="2:66">
      <c r="B1182" s="2"/>
      <c r="BN1182" s="3"/>
    </row>
    <row r="1183" spans="2:66">
      <c r="B1183" s="2"/>
      <c r="BN1183" s="3"/>
    </row>
    <row r="1184" spans="2:66">
      <c r="B1184" s="2"/>
      <c r="AR1184" s="32" t="str">
        <f>IF(M1199&gt;AR1185,"","azalt.")</f>
        <v/>
      </c>
      <c r="AS1184" s="32"/>
      <c r="AT1184" s="32"/>
      <c r="BN1184" s="3"/>
    </row>
    <row r="1185" spans="2:66">
      <c r="B1185" s="2"/>
      <c r="AR1185" s="26">
        <v>0.84</v>
      </c>
      <c r="AS1185" s="26"/>
      <c r="AT1185" s="1" t="s">
        <v>0</v>
      </c>
      <c r="BN1185" s="3"/>
    </row>
    <row r="1186" spans="2:66">
      <c r="B1186" s="2"/>
      <c r="AD1186" s="6" t="s">
        <v>0</v>
      </c>
      <c r="BN1186" s="3"/>
    </row>
    <row r="1187" spans="2:66">
      <c r="B1187" s="2"/>
      <c r="AD1187" s="23">
        <v>3.5</v>
      </c>
      <c r="BN1187" s="3"/>
    </row>
    <row r="1188" spans="2:66">
      <c r="B1188" s="2"/>
      <c r="AD1188" s="23"/>
      <c r="BN1188" s="3"/>
    </row>
    <row r="1189" spans="2:66">
      <c r="B1189" s="2"/>
      <c r="AD1189" s="23"/>
      <c r="BN1189" s="3"/>
    </row>
    <row r="1190" spans="2:66">
      <c r="B1190" s="2"/>
      <c r="AD1190" s="24" t="s">
        <v>1</v>
      </c>
      <c r="BN1190" s="3"/>
    </row>
    <row r="1191" spans="2:66">
      <c r="B1191" s="2"/>
      <c r="AD1191" s="24"/>
      <c r="AW1191" s="13">
        <f>M1180*R1201*AR1185/2*(7/16-AR1185/R1201)</f>
        <v>7.1111250000000004</v>
      </c>
      <c r="AX1191" s="13"/>
      <c r="AY1191" s="13"/>
      <c r="BN1191" s="3"/>
    </row>
    <row r="1192" spans="2:66">
      <c r="B1192" s="2"/>
      <c r="BN1192" s="3"/>
    </row>
    <row r="1193" spans="2:66">
      <c r="B1193" s="2"/>
      <c r="AW1193" s="1" t="s">
        <v>39</v>
      </c>
      <c r="BN1193" s="3"/>
    </row>
    <row r="1194" spans="2:66">
      <c r="B1194" s="2"/>
      <c r="E1194" s="13">
        <f>5*M1180*R1201^2/(64*AD1187)</f>
        <v>6.7801339285714288</v>
      </c>
      <c r="F1194" s="13"/>
      <c r="G1194" s="1" t="s">
        <v>8</v>
      </c>
      <c r="AA1194" s="1" t="s">
        <v>8</v>
      </c>
      <c r="AE1194" s="13">
        <f>+E1194</f>
        <v>6.7801339285714288</v>
      </c>
      <c r="AF1194" s="13"/>
      <c r="AG1194" s="1" t="s">
        <v>8</v>
      </c>
      <c r="BN1194" s="3"/>
    </row>
    <row r="1195" spans="2:66">
      <c r="B1195" s="2"/>
      <c r="BN1195" s="3"/>
    </row>
    <row r="1196" spans="2:66">
      <c r="B1196" s="2"/>
      <c r="BN1196" s="3"/>
    </row>
    <row r="1197" spans="2:66">
      <c r="B1197" s="2"/>
      <c r="BN1197" s="3"/>
    </row>
    <row r="1198" spans="2:66">
      <c r="B1198" s="2"/>
      <c r="H1198" s="13">
        <f>3*M1180*R1201/8</f>
        <v>25.3125</v>
      </c>
      <c r="I1198" s="13"/>
      <c r="J1198" s="1" t="s">
        <v>8</v>
      </c>
      <c r="AB1198" s="13">
        <f>M1180*R1201/8</f>
        <v>8.4375</v>
      </c>
      <c r="AC1198" s="13"/>
      <c r="AD1198" s="1" t="s">
        <v>8</v>
      </c>
      <c r="BN1198" s="3"/>
    </row>
    <row r="1199" spans="2:66">
      <c r="B1199" s="2"/>
      <c r="M1199" s="13">
        <f>+R1201/2</f>
        <v>2.25</v>
      </c>
      <c r="N1199" s="13"/>
      <c r="O1199" s="1" t="s">
        <v>0</v>
      </c>
      <c r="W1199" s="13">
        <f>+R1201/2</f>
        <v>2.25</v>
      </c>
      <c r="X1199" s="13"/>
      <c r="Y1199" s="1" t="s">
        <v>0</v>
      </c>
      <c r="BN1199" s="3"/>
    </row>
    <row r="1200" spans="2:66">
      <c r="B1200" s="2"/>
      <c r="BN1200" s="3"/>
    </row>
    <row r="1201" spans="2:66">
      <c r="B1201" s="2"/>
      <c r="Q1201" s="1" t="s">
        <v>2</v>
      </c>
      <c r="R1201" s="26">
        <v>4.5</v>
      </c>
      <c r="S1201" s="26"/>
      <c r="T1201" s="1" t="s">
        <v>0</v>
      </c>
      <c r="BN1201" s="3"/>
    </row>
    <row r="1202" spans="2:66">
      <c r="B1202" s="2"/>
      <c r="BN1202" s="3"/>
    </row>
    <row r="1203" spans="2:66">
      <c r="B1203" s="2"/>
      <c r="AV1203" s="13">
        <f>-E1211*AD1209^2/16</f>
        <v>-11.484375</v>
      </c>
      <c r="AW1203" s="13"/>
      <c r="AX1203" s="13"/>
      <c r="AZ1203" s="13">
        <f>+AV1203</f>
        <v>-11.484375</v>
      </c>
      <c r="BA1203" s="13"/>
      <c r="BB1203" s="13"/>
      <c r="BN1203" s="3"/>
    </row>
    <row r="1204" spans="2:66">
      <c r="B1204" s="2"/>
      <c r="BN1204" s="3"/>
    </row>
    <row r="1205" spans="2:66">
      <c r="B1205" s="2"/>
      <c r="BN1205" s="3"/>
    </row>
    <row r="1206" spans="2:66">
      <c r="B1206" s="2"/>
      <c r="AR1206" s="32" t="str">
        <f>IF(M1221&gt;AR1207,"","azalt.")</f>
        <v/>
      </c>
      <c r="AS1206" s="32"/>
      <c r="AT1206" s="32"/>
      <c r="BN1206" s="3"/>
    </row>
    <row r="1207" spans="2:66">
      <c r="B1207" s="2"/>
      <c r="AR1207" s="26">
        <v>0.84</v>
      </c>
      <c r="AS1207" s="26"/>
      <c r="AT1207" s="1" t="s">
        <v>0</v>
      </c>
      <c r="BN1207" s="3"/>
    </row>
    <row r="1208" spans="2:66">
      <c r="B1208" s="2"/>
      <c r="E1208" s="24" t="s">
        <v>5</v>
      </c>
      <c r="AD1208" s="6" t="s">
        <v>0</v>
      </c>
      <c r="BN1208" s="3"/>
    </row>
    <row r="1209" spans="2:66">
      <c r="B1209" s="2"/>
      <c r="E1209" s="24"/>
      <c r="AD1209" s="23">
        <v>3.5</v>
      </c>
      <c r="BN1209" s="3"/>
    </row>
    <row r="1210" spans="2:66">
      <c r="B1210" s="2"/>
      <c r="E1210" s="24"/>
      <c r="AD1210" s="23"/>
      <c r="BN1210" s="3"/>
    </row>
    <row r="1211" spans="2:66">
      <c r="B1211" s="2"/>
      <c r="E1211" s="23">
        <v>15</v>
      </c>
      <c r="AD1211" s="23"/>
      <c r="BN1211" s="3"/>
    </row>
    <row r="1212" spans="2:66">
      <c r="B1212" s="2"/>
      <c r="E1212" s="23"/>
      <c r="AD1212" s="24" t="s">
        <v>1</v>
      </c>
      <c r="BN1212" s="3"/>
    </row>
    <row r="1213" spans="2:66">
      <c r="B1213" s="2"/>
      <c r="E1213" s="23"/>
      <c r="AD1213" s="24"/>
      <c r="AW1213" s="13">
        <f>2*E1211*AD1209^2*AR1207/R1223*(7/16-AR1207/R1223)</f>
        <v>17.207166666666666</v>
      </c>
      <c r="AX1213" s="13"/>
      <c r="AY1213" s="13"/>
      <c r="BN1213" s="3"/>
    </row>
    <row r="1214" spans="2:66">
      <c r="B1214" s="2"/>
      <c r="BN1214" s="3"/>
    </row>
    <row r="1215" spans="2:66">
      <c r="B1215" s="2"/>
      <c r="AW1215" s="1" t="s">
        <v>39</v>
      </c>
      <c r="BN1215" s="3"/>
    </row>
    <row r="1216" spans="2:66">
      <c r="B1216" s="2"/>
      <c r="K1216" s="13">
        <f>11*E1211*AD1209/16</f>
        <v>36.09375</v>
      </c>
      <c r="L1216" s="13"/>
      <c r="M1216" s="1" t="s">
        <v>8</v>
      </c>
      <c r="AA1216" s="1" t="s">
        <v>8</v>
      </c>
      <c r="AE1216" s="13">
        <f>5*E1211*AD1209/16</f>
        <v>16.40625</v>
      </c>
      <c r="AF1216" s="13"/>
      <c r="AG1216" s="1" t="s">
        <v>8</v>
      </c>
      <c r="BN1216" s="3"/>
    </row>
    <row r="1217" spans="2:66">
      <c r="B1217" s="2"/>
      <c r="BN1217" s="3"/>
    </row>
    <row r="1218" spans="2:66">
      <c r="B1218" s="2"/>
      <c r="BN1218" s="3"/>
    </row>
    <row r="1219" spans="2:66">
      <c r="B1219" s="2"/>
      <c r="BN1219" s="3"/>
    </row>
    <row r="1220" spans="2:66">
      <c r="B1220" s="2"/>
      <c r="H1220" s="13">
        <f>E1211*AD1209^2/(2*R1223)</f>
        <v>20.416666666666668</v>
      </c>
      <c r="I1220" s="13"/>
      <c r="J1220" s="1" t="s">
        <v>8</v>
      </c>
      <c r="AB1220" s="13">
        <f>+H1220</f>
        <v>20.416666666666668</v>
      </c>
      <c r="AC1220" s="13"/>
      <c r="AD1220" s="1" t="s">
        <v>8</v>
      </c>
      <c r="BN1220" s="3"/>
    </row>
    <row r="1221" spans="2:66">
      <c r="B1221" s="2"/>
      <c r="M1221" s="13">
        <f>+R1223/2</f>
        <v>2.25</v>
      </c>
      <c r="N1221" s="13"/>
      <c r="O1221" s="1" t="s">
        <v>0</v>
      </c>
      <c r="W1221" s="13">
        <f>+R1223/2</f>
        <v>2.25</v>
      </c>
      <c r="X1221" s="13"/>
      <c r="Y1221" s="1" t="s">
        <v>0</v>
      </c>
      <c r="BN1221" s="3"/>
    </row>
    <row r="1222" spans="2:66">
      <c r="B1222" s="2"/>
      <c r="BN1222" s="3"/>
    </row>
    <row r="1223" spans="2:66">
      <c r="B1223" s="2"/>
      <c r="Q1223" s="1" t="s">
        <v>2</v>
      </c>
      <c r="R1223" s="26">
        <v>4.5</v>
      </c>
      <c r="S1223" s="26"/>
      <c r="T1223" s="1" t="s">
        <v>0</v>
      </c>
      <c r="BN1223" s="3"/>
    </row>
    <row r="1224" spans="2:66">
      <c r="B1224" s="2"/>
      <c r="BN1224" s="3"/>
    </row>
    <row r="1225" spans="2:66">
      <c r="B1225" s="2"/>
      <c r="BN1225" s="3"/>
    </row>
    <row r="1226" spans="2:66">
      <c r="B1226" s="2"/>
      <c r="R1226" s="26">
        <v>15</v>
      </c>
      <c r="S1226" s="26"/>
      <c r="T1226" s="1" t="s">
        <v>8</v>
      </c>
      <c r="BN1226" s="3"/>
    </row>
    <row r="1227" spans="2:66">
      <c r="B1227" s="2"/>
      <c r="AV1227" s="13">
        <f>-3*R1226*R1247/32</f>
        <v>-6.328125</v>
      </c>
      <c r="AW1227" s="13"/>
      <c r="AX1227" s="13"/>
      <c r="AZ1227" s="13">
        <f>+AV1227</f>
        <v>-6.328125</v>
      </c>
      <c r="BA1227" s="13"/>
      <c r="BB1227" s="13"/>
      <c r="BN1227" s="3"/>
    </row>
    <row r="1228" spans="2:66">
      <c r="B1228" s="2"/>
      <c r="BN1228" s="3"/>
    </row>
    <row r="1229" spans="2:66">
      <c r="B1229" s="2"/>
      <c r="BN1229" s="3"/>
    </row>
    <row r="1230" spans="2:66">
      <c r="B1230" s="2"/>
      <c r="BN1230" s="3"/>
    </row>
    <row r="1231" spans="2:66">
      <c r="B1231" s="2"/>
      <c r="BN1231" s="3"/>
    </row>
    <row r="1232" spans="2:66">
      <c r="B1232" s="2"/>
      <c r="M1232" s="13">
        <f>+R1226</f>
        <v>15</v>
      </c>
      <c r="N1232" s="13"/>
      <c r="O1232" s="1" t="s">
        <v>8</v>
      </c>
      <c r="W1232" s="13">
        <f>+R1226</f>
        <v>15</v>
      </c>
      <c r="X1232" s="13"/>
      <c r="Y1232" s="1" t="s">
        <v>8</v>
      </c>
      <c r="AD1232" s="6" t="s">
        <v>0</v>
      </c>
      <c r="BN1232" s="3"/>
    </row>
    <row r="1233" spans="2:66">
      <c r="B1233" s="2"/>
      <c r="AD1233" s="23">
        <v>3.5</v>
      </c>
      <c r="BN1233" s="3"/>
    </row>
    <row r="1234" spans="2:66">
      <c r="B1234" s="2"/>
      <c r="AD1234" s="23"/>
      <c r="BN1234" s="3"/>
    </row>
    <row r="1235" spans="2:66">
      <c r="B1235" s="2"/>
      <c r="AD1235" s="23"/>
      <c r="BN1235" s="3"/>
    </row>
    <row r="1236" spans="2:66">
      <c r="B1236" s="2"/>
      <c r="AD1236" s="24" t="s">
        <v>1</v>
      </c>
      <c r="BN1236" s="3"/>
    </row>
    <row r="1237" spans="2:66">
      <c r="B1237" s="2"/>
      <c r="AD1237" s="24"/>
      <c r="BN1237" s="3"/>
    </row>
    <row r="1238" spans="2:66">
      <c r="B1238" s="2"/>
      <c r="AW1238" s="13">
        <f>5*R1226*R1247/64</f>
        <v>5.2734375</v>
      </c>
      <c r="AX1238" s="13"/>
      <c r="AY1238" s="13"/>
      <c r="AZ1238" s="13">
        <f>+AW1238</f>
        <v>5.2734375</v>
      </c>
      <c r="BA1238" s="13"/>
      <c r="BB1238" s="13"/>
      <c r="BN1238" s="3"/>
    </row>
    <row r="1239" spans="2:66">
      <c r="B1239" s="2"/>
      <c r="BN1239" s="3"/>
    </row>
    <row r="1240" spans="2:66">
      <c r="B1240" s="2"/>
      <c r="E1240" s="13">
        <f>19*R1226*R1247/(32*AD1233)</f>
        <v>11.450892857142858</v>
      </c>
      <c r="F1240" s="13"/>
      <c r="G1240" s="1" t="s">
        <v>8</v>
      </c>
      <c r="AA1240" s="1" t="s">
        <v>8</v>
      </c>
      <c r="AE1240" s="13">
        <f>+E1240</f>
        <v>11.450892857142858</v>
      </c>
      <c r="AF1240" s="13"/>
      <c r="AG1240" s="1" t="s">
        <v>8</v>
      </c>
      <c r="AW1240" s="1" t="s">
        <v>39</v>
      </c>
      <c r="BN1240" s="3"/>
    </row>
    <row r="1241" spans="2:66">
      <c r="B1241" s="2"/>
      <c r="BN1241" s="3"/>
    </row>
    <row r="1242" spans="2:66">
      <c r="B1242" s="2"/>
      <c r="BN1242" s="3"/>
    </row>
    <row r="1243" spans="2:66">
      <c r="B1243" s="2"/>
      <c r="BN1243" s="3"/>
    </row>
    <row r="1244" spans="2:66">
      <c r="B1244" s="2"/>
      <c r="H1244" s="13">
        <f>3*R1226/2</f>
        <v>22.5</v>
      </c>
      <c r="I1244" s="13"/>
      <c r="J1244" s="1" t="s">
        <v>8</v>
      </c>
      <c r="AB1244" s="13">
        <f>+H1244</f>
        <v>22.5</v>
      </c>
      <c r="AC1244" s="13"/>
      <c r="AD1244" s="1" t="s">
        <v>8</v>
      </c>
      <c r="BN1244" s="3"/>
    </row>
    <row r="1245" spans="2:66">
      <c r="B1245" s="2"/>
      <c r="J1245" s="13">
        <f>+R1247/4</f>
        <v>1.125</v>
      </c>
      <c r="K1245" s="13"/>
      <c r="L1245" s="1" t="s">
        <v>0</v>
      </c>
      <c r="O1245" s="13">
        <f>+R1247/4</f>
        <v>1.125</v>
      </c>
      <c r="P1245" s="13"/>
      <c r="Q1245" s="1" t="s">
        <v>0</v>
      </c>
      <c r="T1245" s="13">
        <f>+O1245</f>
        <v>1.125</v>
      </c>
      <c r="U1245" s="13"/>
      <c r="V1245" s="1" t="s">
        <v>0</v>
      </c>
      <c r="Y1245" s="13">
        <f>+T1245</f>
        <v>1.125</v>
      </c>
      <c r="Z1245" s="13"/>
      <c r="AA1245" s="1" t="s">
        <v>0</v>
      </c>
      <c r="BN1245" s="3"/>
    </row>
    <row r="1246" spans="2:66">
      <c r="B1246" s="2"/>
      <c r="BN1246" s="3"/>
    </row>
    <row r="1247" spans="2:66">
      <c r="B1247" s="2"/>
      <c r="Q1247" s="1" t="s">
        <v>2</v>
      </c>
      <c r="R1247" s="26">
        <v>4.5</v>
      </c>
      <c r="S1247" s="26"/>
      <c r="T1247" s="1" t="s">
        <v>0</v>
      </c>
      <c r="BN1247" s="3"/>
    </row>
    <row r="1248" spans="2:66" ht="12" thickBot="1">
      <c r="B1248" s="8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  <c r="BF1248" s="9"/>
      <c r="BG1248" s="9"/>
      <c r="BH1248" s="9"/>
      <c r="BI1248" s="9"/>
      <c r="BJ1248" s="9"/>
      <c r="BK1248" s="9"/>
      <c r="BL1248" s="9"/>
      <c r="BM1248" s="9"/>
      <c r="BN1248" s="10"/>
    </row>
  </sheetData>
  <sheetProtection algorithmName="SHA-512" hashValue="wFQVTRxhG1r+obdzSQnCriuym2SKFyQWy/2lvRyupceR0oW4xn8op0/UZXZYdKUsMq39VbpPN5Z91RH3m7BvYw==" saltValue="nsbkjML6iU3IspKViXM8ZA==" spinCount="100000" sheet="1" objects="1" scenarios="1"/>
  <mergeCells count="1423">
    <mergeCell ref="R1247:S1247"/>
    <mergeCell ref="R1226:S1226"/>
    <mergeCell ref="M1232:N1232"/>
    <mergeCell ref="W1232:X1232"/>
    <mergeCell ref="T1245:U1245"/>
    <mergeCell ref="O1245:P1245"/>
    <mergeCell ref="AZ1238:BB1238"/>
    <mergeCell ref="R1223:S1223"/>
    <mergeCell ref="E1208:E1210"/>
    <mergeCell ref="E1211:E1213"/>
    <mergeCell ref="B1154:BN1154"/>
    <mergeCell ref="AV1227:AX1227"/>
    <mergeCell ref="AZ1227:BB1227"/>
    <mergeCell ref="AD1233:AD1235"/>
    <mergeCell ref="AD1236:AD1237"/>
    <mergeCell ref="AW1238:AY1238"/>
    <mergeCell ref="E1240:F1240"/>
    <mergeCell ref="AE1240:AF1240"/>
    <mergeCell ref="H1244:I1244"/>
    <mergeCell ref="AB1244:AC1244"/>
    <mergeCell ref="J1245:K1245"/>
    <mergeCell ref="Y1245:Z1245"/>
    <mergeCell ref="R1201:S1201"/>
    <mergeCell ref="AR1184:AT1184"/>
    <mergeCell ref="AV1203:AX1203"/>
    <mergeCell ref="AZ1203:BB1203"/>
    <mergeCell ref="AR1206:AT1206"/>
    <mergeCell ref="AR1207:AS1207"/>
    <mergeCell ref="AD1209:AD1211"/>
    <mergeCell ref="AD1212:AD1213"/>
    <mergeCell ref="AW1213:AY1213"/>
    <mergeCell ref="K1216:L1216"/>
    <mergeCell ref="AE1216:AF1216"/>
    <mergeCell ref="H1220:I1220"/>
    <mergeCell ref="AB1220:AC1220"/>
    <mergeCell ref="M1221:N1221"/>
    <mergeCell ref="W1221:X1221"/>
    <mergeCell ref="M1180:N1180"/>
    <mergeCell ref="AV1181:AX1181"/>
    <mergeCell ref="AZ1181:BB1181"/>
    <mergeCell ref="AR1185:AS1185"/>
    <mergeCell ref="AD1187:AD1189"/>
    <mergeCell ref="AD1190:AD1191"/>
    <mergeCell ref="AW1191:AY1191"/>
    <mergeCell ref="E1194:F1194"/>
    <mergeCell ref="AE1194:AF1194"/>
    <mergeCell ref="H1198:I1198"/>
    <mergeCell ref="AB1198:AC1198"/>
    <mergeCell ref="M1199:N1199"/>
    <mergeCell ref="W1199:X1199"/>
    <mergeCell ref="E1170:F1170"/>
    <mergeCell ref="H1174:I1174"/>
    <mergeCell ref="AB1174:AC1174"/>
    <mergeCell ref="Q1156:R1156"/>
    <mergeCell ref="AE1170:AF1170"/>
    <mergeCell ref="AD1163:AD1165"/>
    <mergeCell ref="AD1166:AD1167"/>
    <mergeCell ref="M1175:N1175"/>
    <mergeCell ref="W1175:X1175"/>
    <mergeCell ref="R1177:S1177"/>
    <mergeCell ref="BE1161:BF1161"/>
    <mergeCell ref="AR1161:AS1161"/>
    <mergeCell ref="AV1157:AX1157"/>
    <mergeCell ref="AZ1157:BB1157"/>
    <mergeCell ref="AZ1167:BB1167"/>
    <mergeCell ref="AW1167:AY1167"/>
    <mergeCell ref="B1055:BN1055"/>
    <mergeCell ref="B1105:BN1105"/>
    <mergeCell ref="N1145:O1145"/>
    <mergeCell ref="K1149:L1149"/>
    <mergeCell ref="Q1151:R1151"/>
    <mergeCell ref="M1147:O1147"/>
    <mergeCell ref="Y1132:AA1132"/>
    <mergeCell ref="AR1136:AT1136"/>
    <mergeCell ref="AG1131:AI1131"/>
    <mergeCell ref="AD1133:AF1133"/>
    <mergeCell ref="AK1140:AM1140"/>
    <mergeCell ref="AO1142:AO1144"/>
    <mergeCell ref="AC1146:AE1146"/>
    <mergeCell ref="H1123:I1123"/>
    <mergeCell ref="K1127:L1127"/>
    <mergeCell ref="Q1129:R1129"/>
    <mergeCell ref="AR1107:AT1107"/>
    <mergeCell ref="AD1111:AF1111"/>
    <mergeCell ref="AJ1123:AL1123"/>
    <mergeCell ref="Y1113:AA1113"/>
    <mergeCell ref="G1125:I1125"/>
    <mergeCell ref="Z1133:AA1133"/>
    <mergeCell ref="Q1134:S1134"/>
    <mergeCell ref="I1136:I1138"/>
    <mergeCell ref="L1136:L1137"/>
    <mergeCell ref="Q1136:R1136"/>
    <mergeCell ref="Q1137:R1137"/>
    <mergeCell ref="W1137:X1137"/>
    <mergeCell ref="G1138:G1140"/>
    <mergeCell ref="L1138:L1141"/>
    <mergeCell ref="I1139:I1141"/>
    <mergeCell ref="G1141:G1142"/>
    <mergeCell ref="L1142:L1143"/>
    <mergeCell ref="N1096:O1096"/>
    <mergeCell ref="K1100:L1100"/>
    <mergeCell ref="Q1102:R1102"/>
    <mergeCell ref="I1087:I1089"/>
    <mergeCell ref="I1090:I1092"/>
    <mergeCell ref="AM1091:AO1091"/>
    <mergeCell ref="AE1093:AE1095"/>
    <mergeCell ref="P1109:Q1109"/>
    <mergeCell ref="Z1111:AA1111"/>
    <mergeCell ref="Q1112:S1112"/>
    <mergeCell ref="L1114:L1115"/>
    <mergeCell ref="Q1114:R1114"/>
    <mergeCell ref="Q1115:R1115"/>
    <mergeCell ref="W1115:X1115"/>
    <mergeCell ref="G1116:G1118"/>
    <mergeCell ref="L1116:L1119"/>
    <mergeCell ref="G1119:G1120"/>
    <mergeCell ref="L1120:L1121"/>
    <mergeCell ref="AL1115:AN1115"/>
    <mergeCell ref="AJ1119:AK1119"/>
    <mergeCell ref="AG1109:AI1109"/>
    <mergeCell ref="AG1057:AI1057"/>
    <mergeCell ref="AD1060:AF1060"/>
    <mergeCell ref="AM1064:AO1064"/>
    <mergeCell ref="AP1058:AQ1058"/>
    <mergeCell ref="AG1081:AI1081"/>
    <mergeCell ref="Z1084:AA1084"/>
    <mergeCell ref="AD1084:AF1084"/>
    <mergeCell ref="Q1085:S1085"/>
    <mergeCell ref="L1087:L1088"/>
    <mergeCell ref="Q1087:R1087"/>
    <mergeCell ref="Q1088:R1088"/>
    <mergeCell ref="W1088:X1088"/>
    <mergeCell ref="G1089:G1091"/>
    <mergeCell ref="L1089:L1092"/>
    <mergeCell ref="G1092:G1093"/>
    <mergeCell ref="L1093:L1094"/>
    <mergeCell ref="P1058:Q1058"/>
    <mergeCell ref="Q1061:S1061"/>
    <mergeCell ref="L1063:L1064"/>
    <mergeCell ref="Q1063:R1063"/>
    <mergeCell ref="Q1064:R1064"/>
    <mergeCell ref="G1065:G1067"/>
    <mergeCell ref="L1065:L1068"/>
    <mergeCell ref="G1068:G1069"/>
    <mergeCell ref="L1069:L1070"/>
    <mergeCell ref="H1072:I1072"/>
    <mergeCell ref="Z1060:AA1060"/>
    <mergeCell ref="K1076:L1076"/>
    <mergeCell ref="W1064:X1064"/>
    <mergeCell ref="Q1078:R1078"/>
    <mergeCell ref="BR4:BZ8"/>
    <mergeCell ref="S794:T794"/>
    <mergeCell ref="S795:T795"/>
    <mergeCell ref="AB509:AD509"/>
    <mergeCell ref="B2:BN2"/>
    <mergeCell ref="B269:BN269"/>
    <mergeCell ref="B525:BN525"/>
    <mergeCell ref="B634:BN634"/>
    <mergeCell ref="B862:BN862"/>
    <mergeCell ref="AI1020:AK1020"/>
    <mergeCell ref="BD1020:BF1020"/>
    <mergeCell ref="I1021:J1021"/>
    <mergeCell ref="AE1021:AF1021"/>
    <mergeCell ref="AC1016:AC1017"/>
    <mergeCell ref="S1017:T1017"/>
    <mergeCell ref="S1018:T1018"/>
    <mergeCell ref="J1019:K1019"/>
    <mergeCell ref="AF1019:AG1019"/>
    <mergeCell ref="C1012:C1014"/>
    <mergeCell ref="H1012:H1015"/>
    <mergeCell ref="S1012:T1012"/>
    <mergeCell ref="AC1012:AC1015"/>
    <mergeCell ref="S1013:T1013"/>
    <mergeCell ref="S1014:T1014"/>
    <mergeCell ref="C1015:C1016"/>
    <mergeCell ref="S1015:T1015"/>
    <mergeCell ref="H1016:H1017"/>
    <mergeCell ref="S1016:T1016"/>
    <mergeCell ref="O1002:P1002"/>
    <mergeCell ref="BK1007:BM1007"/>
    <mergeCell ref="S1008:T1008"/>
    <mergeCell ref="S1009:T1009"/>
    <mergeCell ref="BI1003:BK1003"/>
    <mergeCell ref="C1004:C1006"/>
    <mergeCell ref="BD1047:BF1047"/>
    <mergeCell ref="AI1047:AK1047"/>
    <mergeCell ref="I1048:J1048"/>
    <mergeCell ref="J1046:K1046"/>
    <mergeCell ref="AF1046:AG1046"/>
    <mergeCell ref="S1035:T1035"/>
    <mergeCell ref="S1036:T1036"/>
    <mergeCell ref="BI1030:BK1030"/>
    <mergeCell ref="C1031:C1033"/>
    <mergeCell ref="M1033:O1033"/>
    <mergeCell ref="V1033:X1033"/>
    <mergeCell ref="E1034:F1034"/>
    <mergeCell ref="AO1034:AQ1034"/>
    <mergeCell ref="BK1034:BM1034"/>
    <mergeCell ref="G1023:H1023"/>
    <mergeCell ref="AC1023:AD1023"/>
    <mergeCell ref="R1025:S1025"/>
    <mergeCell ref="G1050:H1050"/>
    <mergeCell ref="AC1050:AD1050"/>
    <mergeCell ref="R1052:S1052"/>
    <mergeCell ref="S1042:T1042"/>
    <mergeCell ref="S1043:T1043"/>
    <mergeCell ref="S1044:T1044"/>
    <mergeCell ref="S1045:T1045"/>
    <mergeCell ref="S1046:T1046"/>
    <mergeCell ref="AN1038:AP1038"/>
    <mergeCell ref="C1039:C1041"/>
    <mergeCell ref="H1039:H1042"/>
    <mergeCell ref="S1039:T1039"/>
    <mergeCell ref="AC1039:AC1042"/>
    <mergeCell ref="S1040:T1040"/>
    <mergeCell ref="S1041:T1041"/>
    <mergeCell ref="C1042:C1043"/>
    <mergeCell ref="H1043:H1044"/>
    <mergeCell ref="AC1043:AC1044"/>
    <mergeCell ref="H1037:H1038"/>
    <mergeCell ref="S1037:T1037"/>
    <mergeCell ref="AC1037:AC1038"/>
    <mergeCell ref="S1038:T1038"/>
    <mergeCell ref="S1047:T1047"/>
    <mergeCell ref="S1048:T1048"/>
    <mergeCell ref="AE1048:AF1048"/>
    <mergeCell ref="S968:T968"/>
    <mergeCell ref="I968:J968"/>
    <mergeCell ref="AE968:AF968"/>
    <mergeCell ref="AI967:AK967"/>
    <mergeCell ref="BD967:BF967"/>
    <mergeCell ref="J966:K966"/>
    <mergeCell ref="AF966:AG966"/>
    <mergeCell ref="G970:H970"/>
    <mergeCell ref="AC970:AD970"/>
    <mergeCell ref="R972:S972"/>
    <mergeCell ref="AU1027:AW1027"/>
    <mergeCell ref="AX1027:AZ1027"/>
    <mergeCell ref="H1010:H1011"/>
    <mergeCell ref="S1010:T1010"/>
    <mergeCell ref="AC1010:AC1011"/>
    <mergeCell ref="S1011:T1011"/>
    <mergeCell ref="AN1011:AP1011"/>
    <mergeCell ref="V1006:X1006"/>
    <mergeCell ref="M1006:O1006"/>
    <mergeCell ref="AO1007:AQ1007"/>
    <mergeCell ref="AI994:AK994"/>
    <mergeCell ref="BD994:BF994"/>
    <mergeCell ref="I995:J995"/>
    <mergeCell ref="S997:T997"/>
    <mergeCell ref="AE995:AF995"/>
    <mergeCell ref="G997:H997"/>
    <mergeCell ref="AC997:AD997"/>
    <mergeCell ref="R999:S999"/>
    <mergeCell ref="AO986:AQ986"/>
    <mergeCell ref="S996:T996"/>
    <mergeCell ref="S963:T963"/>
    <mergeCell ref="S964:T964"/>
    <mergeCell ref="S965:T965"/>
    <mergeCell ref="S966:T966"/>
    <mergeCell ref="S967:T967"/>
    <mergeCell ref="C959:C961"/>
    <mergeCell ref="H959:H962"/>
    <mergeCell ref="S959:T959"/>
    <mergeCell ref="AC959:AC962"/>
    <mergeCell ref="S960:T960"/>
    <mergeCell ref="S961:T961"/>
    <mergeCell ref="C962:C963"/>
    <mergeCell ref="S962:T962"/>
    <mergeCell ref="H963:H964"/>
    <mergeCell ref="AC963:AC964"/>
    <mergeCell ref="AO954:AQ954"/>
    <mergeCell ref="BK954:BM954"/>
    <mergeCell ref="S955:T955"/>
    <mergeCell ref="S956:T956"/>
    <mergeCell ref="H957:H958"/>
    <mergeCell ref="S957:T957"/>
    <mergeCell ref="AC957:AC958"/>
    <mergeCell ref="S958:T958"/>
    <mergeCell ref="AN958:AP958"/>
    <mergeCell ref="V953:X953"/>
    <mergeCell ref="AI940:AK940"/>
    <mergeCell ref="BD940:BF940"/>
    <mergeCell ref="D914:E914"/>
    <mergeCell ref="AE914:AF914"/>
    <mergeCell ref="I941:J941"/>
    <mergeCell ref="AE941:AF941"/>
    <mergeCell ref="S939:T939"/>
    <mergeCell ref="S940:T940"/>
    <mergeCell ref="S941:T941"/>
    <mergeCell ref="J939:K939"/>
    <mergeCell ref="AF939:AG939"/>
    <mergeCell ref="G943:H943"/>
    <mergeCell ref="AC943:AD943"/>
    <mergeCell ref="R945:S945"/>
    <mergeCell ref="S935:T935"/>
    <mergeCell ref="S936:T936"/>
    <mergeCell ref="S937:T937"/>
    <mergeCell ref="S938:T938"/>
    <mergeCell ref="H932:H935"/>
    <mergeCell ref="S932:T932"/>
    <mergeCell ref="AC932:AC935"/>
    <mergeCell ref="E933:E935"/>
    <mergeCell ref="S933:T933"/>
    <mergeCell ref="S934:T934"/>
    <mergeCell ref="C935:C936"/>
    <mergeCell ref="H936:H937"/>
    <mergeCell ref="AC936:AC937"/>
    <mergeCell ref="AO927:AQ927"/>
    <mergeCell ref="BK927:BM927"/>
    <mergeCell ref="S928:T928"/>
    <mergeCell ref="S929:T929"/>
    <mergeCell ref="E930:E932"/>
    <mergeCell ref="H930:H931"/>
    <mergeCell ref="S930:T930"/>
    <mergeCell ref="AC930:AC931"/>
    <mergeCell ref="S931:T931"/>
    <mergeCell ref="AM931:AO931"/>
    <mergeCell ref="AP913:AR913"/>
    <mergeCell ref="BD913:BF913"/>
    <mergeCell ref="AU920:AW920"/>
    <mergeCell ref="AX920:AZ920"/>
    <mergeCell ref="BI923:BK923"/>
    <mergeCell ref="C924:C926"/>
    <mergeCell ref="M926:O926"/>
    <mergeCell ref="V926:X926"/>
    <mergeCell ref="C932:C934"/>
    <mergeCell ref="D912:E912"/>
    <mergeCell ref="AF912:AG912"/>
    <mergeCell ref="G916:H916"/>
    <mergeCell ref="AC916:AD916"/>
    <mergeCell ref="R918:S918"/>
    <mergeCell ref="S908:T908"/>
    <mergeCell ref="S909:T909"/>
    <mergeCell ref="S910:T910"/>
    <mergeCell ref="S911:T911"/>
    <mergeCell ref="C905:C907"/>
    <mergeCell ref="H905:H908"/>
    <mergeCell ref="S905:T905"/>
    <mergeCell ref="AC905:AC908"/>
    <mergeCell ref="S906:T906"/>
    <mergeCell ref="S907:T907"/>
    <mergeCell ref="C908:C909"/>
    <mergeCell ref="H909:H910"/>
    <mergeCell ref="AC909:AC910"/>
    <mergeCell ref="S901:T901"/>
    <mergeCell ref="S902:T902"/>
    <mergeCell ref="H903:H904"/>
    <mergeCell ref="S903:T903"/>
    <mergeCell ref="AC903:AC904"/>
    <mergeCell ref="S904:T904"/>
    <mergeCell ref="BI897:BK897"/>
    <mergeCell ref="AU898:AW898"/>
    <mergeCell ref="AX898:AZ898"/>
    <mergeCell ref="M899:O899"/>
    <mergeCell ref="V899:X899"/>
    <mergeCell ref="AI900:AK900"/>
    <mergeCell ref="BK900:BM900"/>
    <mergeCell ref="AP884:AR884"/>
    <mergeCell ref="BD884:BF884"/>
    <mergeCell ref="AE885:AF885"/>
    <mergeCell ref="D885:E885"/>
    <mergeCell ref="R892:S892"/>
    <mergeCell ref="C897:C899"/>
    <mergeCell ref="AK897:AM897"/>
    <mergeCell ref="D883:E883"/>
    <mergeCell ref="AF883:AG883"/>
    <mergeCell ref="G887:H887"/>
    <mergeCell ref="AC887:AD887"/>
    <mergeCell ref="R889:S889"/>
    <mergeCell ref="S879:T879"/>
    <mergeCell ref="S880:T880"/>
    <mergeCell ref="S881:T881"/>
    <mergeCell ref="S882:T882"/>
    <mergeCell ref="C876:C878"/>
    <mergeCell ref="H876:H879"/>
    <mergeCell ref="S876:T876"/>
    <mergeCell ref="AC876:AC879"/>
    <mergeCell ref="S877:T877"/>
    <mergeCell ref="S878:T878"/>
    <mergeCell ref="C879:C880"/>
    <mergeCell ref="H880:H881"/>
    <mergeCell ref="AC880:AC881"/>
    <mergeCell ref="S872:T872"/>
    <mergeCell ref="S873:T873"/>
    <mergeCell ref="AT873:AV873"/>
    <mergeCell ref="AY873:BA873"/>
    <mergeCell ref="H874:H875"/>
    <mergeCell ref="S874:T874"/>
    <mergeCell ref="AC874:AC875"/>
    <mergeCell ref="S875:T875"/>
    <mergeCell ref="BI868:BK868"/>
    <mergeCell ref="AU869:AW869"/>
    <mergeCell ref="AX869:AZ869"/>
    <mergeCell ref="M870:O870"/>
    <mergeCell ref="V870:X870"/>
    <mergeCell ref="AI871:AK871"/>
    <mergeCell ref="BK871:BM871"/>
    <mergeCell ref="AP845:AR845"/>
    <mergeCell ref="Q864:R864"/>
    <mergeCell ref="AP865:AQ865"/>
    <mergeCell ref="BD865:BE865"/>
    <mergeCell ref="C868:C870"/>
    <mergeCell ref="AK868:AM868"/>
    <mergeCell ref="D852:E852"/>
    <mergeCell ref="AF852:AG852"/>
    <mergeCell ref="G856:H856"/>
    <mergeCell ref="AC856:AD856"/>
    <mergeCell ref="R858:S858"/>
    <mergeCell ref="S848:T848"/>
    <mergeCell ref="E847:E849"/>
    <mergeCell ref="S849:T849"/>
    <mergeCell ref="C845:C847"/>
    <mergeCell ref="H845:H848"/>
    <mergeCell ref="S845:T845"/>
    <mergeCell ref="AC845:AC848"/>
    <mergeCell ref="S846:T846"/>
    <mergeCell ref="S847:T847"/>
    <mergeCell ref="C848:C849"/>
    <mergeCell ref="H849:H850"/>
    <mergeCell ref="AC849:AC850"/>
    <mergeCell ref="AI844:AK844"/>
    <mergeCell ref="BK840:BM840"/>
    <mergeCell ref="S841:T841"/>
    <mergeCell ref="S842:T842"/>
    <mergeCell ref="H843:H844"/>
    <mergeCell ref="S843:T843"/>
    <mergeCell ref="AC843:AC844"/>
    <mergeCell ref="S844:T844"/>
    <mergeCell ref="I843:J843"/>
    <mergeCell ref="C837:C839"/>
    <mergeCell ref="AM843:AO843"/>
    <mergeCell ref="BI836:BK836"/>
    <mergeCell ref="AU833:AW833"/>
    <mergeCell ref="AX833:AZ833"/>
    <mergeCell ref="M839:O839"/>
    <mergeCell ref="V839:X839"/>
    <mergeCell ref="E842:E844"/>
    <mergeCell ref="H837:I837"/>
    <mergeCell ref="J825:K825"/>
    <mergeCell ref="AF825:AG825"/>
    <mergeCell ref="G829:H829"/>
    <mergeCell ref="AC829:AD829"/>
    <mergeCell ref="R831:S831"/>
    <mergeCell ref="S821:T821"/>
    <mergeCell ref="C818:C820"/>
    <mergeCell ref="H818:H821"/>
    <mergeCell ref="S818:T818"/>
    <mergeCell ref="AC818:AC821"/>
    <mergeCell ref="E810:E812"/>
    <mergeCell ref="S819:T819"/>
    <mergeCell ref="S820:T820"/>
    <mergeCell ref="C821:C822"/>
    <mergeCell ref="H822:H823"/>
    <mergeCell ref="AC822:AC823"/>
    <mergeCell ref="AO813:AQ813"/>
    <mergeCell ref="BK813:BM813"/>
    <mergeCell ref="S814:T814"/>
    <mergeCell ref="S815:T815"/>
    <mergeCell ref="E807:E809"/>
    <mergeCell ref="H816:H817"/>
    <mergeCell ref="S816:T816"/>
    <mergeCell ref="AC816:AC817"/>
    <mergeCell ref="S817:T817"/>
    <mergeCell ref="AN817:AP817"/>
    <mergeCell ref="E792:E794"/>
    <mergeCell ref="AU806:AW806"/>
    <mergeCell ref="AX806:AZ806"/>
    <mergeCell ref="BI809:BK809"/>
    <mergeCell ref="C810:C812"/>
    <mergeCell ref="M812:O812"/>
    <mergeCell ref="V812:X812"/>
    <mergeCell ref="J798:K798"/>
    <mergeCell ref="AF798:AG798"/>
    <mergeCell ref="G802:H802"/>
    <mergeCell ref="AC802:AD802"/>
    <mergeCell ref="R804:S804"/>
    <mergeCell ref="E789:E791"/>
    <mergeCell ref="C791:C793"/>
    <mergeCell ref="H791:H794"/>
    <mergeCell ref="S791:T791"/>
    <mergeCell ref="AC791:AC794"/>
    <mergeCell ref="S792:T792"/>
    <mergeCell ref="S793:T793"/>
    <mergeCell ref="C794:C795"/>
    <mergeCell ref="H795:H796"/>
    <mergeCell ref="AC795:AC796"/>
    <mergeCell ref="AO786:AQ786"/>
    <mergeCell ref="BK786:BM786"/>
    <mergeCell ref="S787:T787"/>
    <mergeCell ref="S788:T788"/>
    <mergeCell ref="H789:H790"/>
    <mergeCell ref="S789:T789"/>
    <mergeCell ref="AC789:AC790"/>
    <mergeCell ref="S790:T790"/>
    <mergeCell ref="AN790:AP790"/>
    <mergeCell ref="BI755:BK755"/>
    <mergeCell ref="AU752:AW752"/>
    <mergeCell ref="AX752:AZ752"/>
    <mergeCell ref="M758:O758"/>
    <mergeCell ref="V758:X758"/>
    <mergeCell ref="AO759:AQ759"/>
    <mergeCell ref="BK759:BM759"/>
    <mergeCell ref="Z747:AA747"/>
    <mergeCell ref="AR730:AT730"/>
    <mergeCell ref="BA730:BC730"/>
    <mergeCell ref="E759:F759"/>
    <mergeCell ref="AU779:AW779"/>
    <mergeCell ref="AX779:AZ779"/>
    <mergeCell ref="BI782:BK782"/>
    <mergeCell ref="C783:C785"/>
    <mergeCell ref="M785:O785"/>
    <mergeCell ref="V785:X785"/>
    <mergeCell ref="J771:K771"/>
    <mergeCell ref="AF771:AG771"/>
    <mergeCell ref="G775:H775"/>
    <mergeCell ref="AC775:AD775"/>
    <mergeCell ref="R777:S777"/>
    <mergeCell ref="C764:C766"/>
    <mergeCell ref="H764:H767"/>
    <mergeCell ref="S764:T764"/>
    <mergeCell ref="AC764:AC767"/>
    <mergeCell ref="S765:T765"/>
    <mergeCell ref="S766:T766"/>
    <mergeCell ref="C767:C768"/>
    <mergeCell ref="H768:H769"/>
    <mergeCell ref="AC768:AC769"/>
    <mergeCell ref="C756:C758"/>
    <mergeCell ref="AN763:AP763"/>
    <mergeCell ref="D741:E741"/>
    <mergeCell ref="AF741:AG741"/>
    <mergeCell ref="G745:H745"/>
    <mergeCell ref="AC745:AD745"/>
    <mergeCell ref="R749:S749"/>
    <mergeCell ref="W723:X723"/>
    <mergeCell ref="L723:M723"/>
    <mergeCell ref="I747:J747"/>
    <mergeCell ref="O747:P747"/>
    <mergeCell ref="U747:V747"/>
    <mergeCell ref="C734:C736"/>
    <mergeCell ref="H734:H737"/>
    <mergeCell ref="S734:T734"/>
    <mergeCell ref="AC734:AC737"/>
    <mergeCell ref="S735:T735"/>
    <mergeCell ref="S736:T736"/>
    <mergeCell ref="C737:C738"/>
    <mergeCell ref="H738:H739"/>
    <mergeCell ref="AC738:AC739"/>
    <mergeCell ref="AI729:AK729"/>
    <mergeCell ref="S760:T760"/>
    <mergeCell ref="S761:T761"/>
    <mergeCell ref="H762:H763"/>
    <mergeCell ref="S762:T762"/>
    <mergeCell ref="AC762:AC763"/>
    <mergeCell ref="S763:T763"/>
    <mergeCell ref="BK729:BM729"/>
    <mergeCell ref="S730:T730"/>
    <mergeCell ref="S731:T731"/>
    <mergeCell ref="H732:H733"/>
    <mergeCell ref="S732:T732"/>
    <mergeCell ref="AC732:AC733"/>
    <mergeCell ref="S733:T733"/>
    <mergeCell ref="R718:S718"/>
    <mergeCell ref="R692:S692"/>
    <mergeCell ref="R721:S721"/>
    <mergeCell ref="C726:C728"/>
    <mergeCell ref="AK726:AM726"/>
    <mergeCell ref="BI726:BK726"/>
    <mergeCell ref="AU728:AW728"/>
    <mergeCell ref="AX728:AZ728"/>
    <mergeCell ref="M728:O728"/>
    <mergeCell ref="V728:X728"/>
    <mergeCell ref="C708:C709"/>
    <mergeCell ref="H709:H710"/>
    <mergeCell ref="AC709:AC710"/>
    <mergeCell ref="D712:E712"/>
    <mergeCell ref="AF712:AG712"/>
    <mergeCell ref="G716:H716"/>
    <mergeCell ref="AC716:AD716"/>
    <mergeCell ref="H703:H704"/>
    <mergeCell ref="S703:T703"/>
    <mergeCell ref="AC703:AC704"/>
    <mergeCell ref="S704:T704"/>
    <mergeCell ref="C705:C707"/>
    <mergeCell ref="H705:H708"/>
    <mergeCell ref="S705:T705"/>
    <mergeCell ref="AC705:AC708"/>
    <mergeCell ref="S706:T706"/>
    <mergeCell ref="S707:T707"/>
    <mergeCell ref="AI700:AK700"/>
    <mergeCell ref="BK700:BM700"/>
    <mergeCell ref="S701:T701"/>
    <mergeCell ref="S702:T702"/>
    <mergeCell ref="R689:S689"/>
    <mergeCell ref="C697:C699"/>
    <mergeCell ref="AK697:AM697"/>
    <mergeCell ref="BI697:BK697"/>
    <mergeCell ref="AU698:AW698"/>
    <mergeCell ref="AX698:AZ698"/>
    <mergeCell ref="M699:O699"/>
    <mergeCell ref="V699:X699"/>
    <mergeCell ref="C679:C680"/>
    <mergeCell ref="H680:H681"/>
    <mergeCell ref="AC680:AC681"/>
    <mergeCell ref="D683:E683"/>
    <mergeCell ref="AF683:AG683"/>
    <mergeCell ref="G687:H687"/>
    <mergeCell ref="AC687:AD687"/>
    <mergeCell ref="H674:H675"/>
    <mergeCell ref="S674:T674"/>
    <mergeCell ref="AC674:AC675"/>
    <mergeCell ref="S675:T675"/>
    <mergeCell ref="C676:C678"/>
    <mergeCell ref="H676:H679"/>
    <mergeCell ref="S676:T676"/>
    <mergeCell ref="AC676:AC679"/>
    <mergeCell ref="S677:T677"/>
    <mergeCell ref="S678:T678"/>
    <mergeCell ref="AI671:AK671"/>
    <mergeCell ref="BK671:BM671"/>
    <mergeCell ref="S672:T672"/>
    <mergeCell ref="S673:T673"/>
    <mergeCell ref="AT673:AV673"/>
    <mergeCell ref="C668:C670"/>
    <mergeCell ref="AK668:AM668"/>
    <mergeCell ref="BI668:BK668"/>
    <mergeCell ref="AU669:AW669"/>
    <mergeCell ref="AX669:AZ669"/>
    <mergeCell ref="M670:O670"/>
    <mergeCell ref="V670:X670"/>
    <mergeCell ref="BK643:BM643"/>
    <mergeCell ref="BI640:BK640"/>
    <mergeCell ref="AU641:AW641"/>
    <mergeCell ref="AX641:AZ641"/>
    <mergeCell ref="L664:M664"/>
    <mergeCell ref="S650:T650"/>
    <mergeCell ref="AP637:AQ637"/>
    <mergeCell ref="BD637:BE637"/>
    <mergeCell ref="AK640:AM640"/>
    <mergeCell ref="AT645:AV645"/>
    <mergeCell ref="AY645:BA645"/>
    <mergeCell ref="AI643:AK643"/>
    <mergeCell ref="AC652:AC653"/>
    <mergeCell ref="M642:O642"/>
    <mergeCell ref="V642:X642"/>
    <mergeCell ref="S644:T644"/>
    <mergeCell ref="S646:T646"/>
    <mergeCell ref="R661:S661"/>
    <mergeCell ref="S645:T645"/>
    <mergeCell ref="S647:T647"/>
    <mergeCell ref="S648:T648"/>
    <mergeCell ref="S649:T649"/>
    <mergeCell ref="C648:C650"/>
    <mergeCell ref="C651:C652"/>
    <mergeCell ref="C640:C642"/>
    <mergeCell ref="H646:H647"/>
    <mergeCell ref="H648:H651"/>
    <mergeCell ref="H652:H653"/>
    <mergeCell ref="G628:H628"/>
    <mergeCell ref="S628:T628"/>
    <mergeCell ref="M630:N630"/>
    <mergeCell ref="D655:E655"/>
    <mergeCell ref="AF655:AG655"/>
    <mergeCell ref="G659:H659"/>
    <mergeCell ref="AC659:AD659"/>
    <mergeCell ref="Q636:R636"/>
    <mergeCell ref="AC646:AC647"/>
    <mergeCell ref="AC648:AC651"/>
    <mergeCell ref="N620:O620"/>
    <mergeCell ref="H621:H622"/>
    <mergeCell ref="N621:O621"/>
    <mergeCell ref="S621:S622"/>
    <mergeCell ref="J624:K624"/>
    <mergeCell ref="P624:Q624"/>
    <mergeCell ref="C617:C619"/>
    <mergeCell ref="H617:H620"/>
    <mergeCell ref="N617:O617"/>
    <mergeCell ref="S617:S620"/>
    <mergeCell ref="AB612:AD612"/>
    <mergeCell ref="V617:V619"/>
    <mergeCell ref="N618:O618"/>
    <mergeCell ref="X618:X619"/>
    <mergeCell ref="N619:O619"/>
    <mergeCell ref="C620:C621"/>
    <mergeCell ref="AD608:AF608"/>
    <mergeCell ref="N614:O614"/>
    <mergeCell ref="AL614:AN614"/>
    <mergeCell ref="V614:V616"/>
    <mergeCell ref="H615:H616"/>
    <mergeCell ref="N615:O615"/>
    <mergeCell ref="S615:S616"/>
    <mergeCell ref="W615:W617"/>
    <mergeCell ref="X615:X617"/>
    <mergeCell ref="N616:O616"/>
    <mergeCell ref="G604:H604"/>
    <mergeCell ref="S604:T604"/>
    <mergeCell ref="M606:N606"/>
    <mergeCell ref="AN609:AP609"/>
    <mergeCell ref="AR613:AT613"/>
    <mergeCell ref="C610:C612"/>
    <mergeCell ref="M612:O612"/>
    <mergeCell ref="H597:H598"/>
    <mergeCell ref="S597:S598"/>
    <mergeCell ref="N597:O597"/>
    <mergeCell ref="J600:K600"/>
    <mergeCell ref="V600:W600"/>
    <mergeCell ref="C593:C595"/>
    <mergeCell ref="H593:H596"/>
    <mergeCell ref="N593:O593"/>
    <mergeCell ref="S593:S596"/>
    <mergeCell ref="AF593:AH593"/>
    <mergeCell ref="N594:O594"/>
    <mergeCell ref="X594:X595"/>
    <mergeCell ref="N595:O595"/>
    <mergeCell ref="C596:C597"/>
    <mergeCell ref="N596:O596"/>
    <mergeCell ref="H591:H592"/>
    <mergeCell ref="N591:O591"/>
    <mergeCell ref="S591:S592"/>
    <mergeCell ref="W591:W593"/>
    <mergeCell ref="X591:X593"/>
    <mergeCell ref="N592:O592"/>
    <mergeCell ref="E591:E593"/>
    <mergeCell ref="AT585:AV585"/>
    <mergeCell ref="C586:C588"/>
    <mergeCell ref="E594:E596"/>
    <mergeCell ref="M588:O588"/>
    <mergeCell ref="AG589:AI589"/>
    <mergeCell ref="M579:N579"/>
    <mergeCell ref="E559:E561"/>
    <mergeCell ref="E556:E558"/>
    <mergeCell ref="N570:O570"/>
    <mergeCell ref="AP581:AR581"/>
    <mergeCell ref="N571:O571"/>
    <mergeCell ref="S570:S571"/>
    <mergeCell ref="J573:K573"/>
    <mergeCell ref="V573:W573"/>
    <mergeCell ref="G577:H577"/>
    <mergeCell ref="S577:T577"/>
    <mergeCell ref="C566:C568"/>
    <mergeCell ref="H566:H569"/>
    <mergeCell ref="N566:O566"/>
    <mergeCell ref="S566:S569"/>
    <mergeCell ref="N567:O567"/>
    <mergeCell ref="X567:X568"/>
    <mergeCell ref="N568:O568"/>
    <mergeCell ref="C569:C570"/>
    <mergeCell ref="N569:O569"/>
    <mergeCell ref="H570:H571"/>
    <mergeCell ref="N563:O563"/>
    <mergeCell ref="H564:H565"/>
    <mergeCell ref="N564:O564"/>
    <mergeCell ref="S564:S565"/>
    <mergeCell ref="W564:W566"/>
    <mergeCell ref="X564:X566"/>
    <mergeCell ref="N565:O565"/>
    <mergeCell ref="AP554:AR554"/>
    <mergeCell ref="AG566:AI566"/>
    <mergeCell ref="AT558:AV558"/>
    <mergeCell ref="C559:C561"/>
    <mergeCell ref="M561:O561"/>
    <mergeCell ref="AG562:AI562"/>
    <mergeCell ref="N590:O590"/>
    <mergeCell ref="AD530:AF530"/>
    <mergeCell ref="AL536:AN536"/>
    <mergeCell ref="AB534:AD534"/>
    <mergeCell ref="AT531:AV531"/>
    <mergeCell ref="M534:O534"/>
    <mergeCell ref="AI516:AK516"/>
    <mergeCell ref="AC516:AE516"/>
    <mergeCell ref="N542:O542"/>
    <mergeCell ref="N536:O536"/>
    <mergeCell ref="AP527:AR527"/>
    <mergeCell ref="N543:O543"/>
    <mergeCell ref="AH528:AI528"/>
    <mergeCell ref="W537:W539"/>
    <mergeCell ref="C532:C534"/>
    <mergeCell ref="X537:X539"/>
    <mergeCell ref="X540:X541"/>
    <mergeCell ref="N539:O539"/>
    <mergeCell ref="N540:O540"/>
    <mergeCell ref="N541:O541"/>
    <mergeCell ref="S543:S544"/>
    <mergeCell ref="D517:E517"/>
    <mergeCell ref="U517:V517"/>
    <mergeCell ref="N513:O513"/>
    <mergeCell ref="N511:O511"/>
    <mergeCell ref="D515:E515"/>
    <mergeCell ref="V515:W515"/>
    <mergeCell ref="G519:H519"/>
    <mergeCell ref="S519:T519"/>
    <mergeCell ref="M521:N521"/>
    <mergeCell ref="N506:O506"/>
    <mergeCell ref="N507:O507"/>
    <mergeCell ref="N508:O508"/>
    <mergeCell ref="N509:O509"/>
    <mergeCell ref="N510:O510"/>
    <mergeCell ref="C508:C510"/>
    <mergeCell ref="H508:H511"/>
    <mergeCell ref="S508:S511"/>
    <mergeCell ref="M552:N552"/>
    <mergeCell ref="H537:H538"/>
    <mergeCell ref="N537:O537"/>
    <mergeCell ref="S537:S538"/>
    <mergeCell ref="N538:O538"/>
    <mergeCell ref="C539:C541"/>
    <mergeCell ref="H539:H542"/>
    <mergeCell ref="S539:S542"/>
    <mergeCell ref="C542:C543"/>
    <mergeCell ref="H543:H544"/>
    <mergeCell ref="D546:E546"/>
    <mergeCell ref="V546:W546"/>
    <mergeCell ref="G550:H550"/>
    <mergeCell ref="S550:T550"/>
    <mergeCell ref="L528:M528"/>
    <mergeCell ref="AN482:AP482"/>
    <mergeCell ref="C483:C485"/>
    <mergeCell ref="H483:H486"/>
    <mergeCell ref="S483:S486"/>
    <mergeCell ref="C486:C487"/>
    <mergeCell ref="H487:H488"/>
    <mergeCell ref="S487:S488"/>
    <mergeCell ref="AD478:AF478"/>
    <mergeCell ref="AI478:AK478"/>
    <mergeCell ref="M479:O479"/>
    <mergeCell ref="H481:H482"/>
    <mergeCell ref="S481:S482"/>
    <mergeCell ref="AE507:AG507"/>
    <mergeCell ref="C511:C512"/>
    <mergeCell ref="E511:E513"/>
    <mergeCell ref="H512:H513"/>
    <mergeCell ref="S512:S513"/>
    <mergeCell ref="AC503:AE503"/>
    <mergeCell ref="AP503:AR503"/>
    <mergeCell ref="M504:O504"/>
    <mergeCell ref="E505:E507"/>
    <mergeCell ref="H506:H507"/>
    <mergeCell ref="I506:J506"/>
    <mergeCell ref="S506:S507"/>
    <mergeCell ref="W506:Y506"/>
    <mergeCell ref="X491:Z491"/>
    <mergeCell ref="AO491:AQ491"/>
    <mergeCell ref="I492:J492"/>
    <mergeCell ref="O492:P492"/>
    <mergeCell ref="AL500:AN500"/>
    <mergeCell ref="H501:I501"/>
    <mergeCell ref="N512:O512"/>
    <mergeCell ref="C457:C459"/>
    <mergeCell ref="H457:H460"/>
    <mergeCell ref="S457:S460"/>
    <mergeCell ref="C460:C461"/>
    <mergeCell ref="H461:H462"/>
    <mergeCell ref="S461:S462"/>
    <mergeCell ref="H455:H456"/>
    <mergeCell ref="S455:S456"/>
    <mergeCell ref="Y455:AA455"/>
    <mergeCell ref="J490:K490"/>
    <mergeCell ref="P490:Q490"/>
    <mergeCell ref="G494:H494"/>
    <mergeCell ref="S494:T494"/>
    <mergeCell ref="M496:N496"/>
    <mergeCell ref="N481:O481"/>
    <mergeCell ref="N482:O482"/>
    <mergeCell ref="N483:O483"/>
    <mergeCell ref="I444:J444"/>
    <mergeCell ref="M444:N444"/>
    <mergeCell ref="Q444:R444"/>
    <mergeCell ref="AI430:AK430"/>
    <mergeCell ref="X465:Z465"/>
    <mergeCell ref="AI465:AK465"/>
    <mergeCell ref="U466:V466"/>
    <mergeCell ref="I466:J466"/>
    <mergeCell ref="AA474:AC474"/>
    <mergeCell ref="F476:H476"/>
    <mergeCell ref="J464:K464"/>
    <mergeCell ref="V464:W464"/>
    <mergeCell ref="G468:H468"/>
    <mergeCell ref="S468:T468"/>
    <mergeCell ref="M470:N470"/>
    <mergeCell ref="N455:O455"/>
    <mergeCell ref="N456:O456"/>
    <mergeCell ref="N457:O457"/>
    <mergeCell ref="X426:Z426"/>
    <mergeCell ref="AP426:AR426"/>
    <mergeCell ref="M427:O427"/>
    <mergeCell ref="H429:H430"/>
    <mergeCell ref="S429:S430"/>
    <mergeCell ref="AE430:AG430"/>
    <mergeCell ref="AC413:AE413"/>
    <mergeCell ref="AJ413:AL413"/>
    <mergeCell ref="U414:V414"/>
    <mergeCell ref="D414:E414"/>
    <mergeCell ref="AA423:AC423"/>
    <mergeCell ref="AL423:AN423"/>
    <mergeCell ref="M420:N420"/>
    <mergeCell ref="D452:E452"/>
    <mergeCell ref="AD452:AF452"/>
    <mergeCell ref="AP452:AR452"/>
    <mergeCell ref="M453:O453"/>
    <mergeCell ref="AJ439:AL439"/>
    <mergeCell ref="U440:V440"/>
    <mergeCell ref="D440:E440"/>
    <mergeCell ref="AF435:AF437"/>
    <mergeCell ref="AL449:AN449"/>
    <mergeCell ref="M446:N446"/>
    <mergeCell ref="N429:O429"/>
    <mergeCell ref="N430:O430"/>
    <mergeCell ref="N431:O431"/>
    <mergeCell ref="N432:O432"/>
    <mergeCell ref="AC439:AE439"/>
    <mergeCell ref="D438:E438"/>
    <mergeCell ref="V438:W438"/>
    <mergeCell ref="G442:H442"/>
    <mergeCell ref="S442:T442"/>
    <mergeCell ref="N405:O405"/>
    <mergeCell ref="N407:O407"/>
    <mergeCell ref="N406:O406"/>
    <mergeCell ref="D412:E412"/>
    <mergeCell ref="V412:W412"/>
    <mergeCell ref="G416:H416"/>
    <mergeCell ref="S416:T416"/>
    <mergeCell ref="I418:J418"/>
    <mergeCell ref="O418:P418"/>
    <mergeCell ref="C405:C407"/>
    <mergeCell ref="H405:H408"/>
    <mergeCell ref="S405:S408"/>
    <mergeCell ref="C408:C409"/>
    <mergeCell ref="H409:H410"/>
    <mergeCell ref="S409:S410"/>
    <mergeCell ref="C431:C433"/>
    <mergeCell ref="H431:H434"/>
    <mergeCell ref="S431:S434"/>
    <mergeCell ref="C434:C435"/>
    <mergeCell ref="H435:H436"/>
    <mergeCell ref="S435:S436"/>
    <mergeCell ref="K424:L424"/>
    <mergeCell ref="O424:P424"/>
    <mergeCell ref="AP400:AR400"/>
    <mergeCell ref="M401:O401"/>
    <mergeCell ref="H403:H404"/>
    <mergeCell ref="S403:S404"/>
    <mergeCell ref="AE404:AG404"/>
    <mergeCell ref="I390:J390"/>
    <mergeCell ref="AA397:AC397"/>
    <mergeCell ref="AL397:AN397"/>
    <mergeCell ref="K398:L398"/>
    <mergeCell ref="X400:Z400"/>
    <mergeCell ref="V388:W388"/>
    <mergeCell ref="G392:H392"/>
    <mergeCell ref="S392:T392"/>
    <mergeCell ref="M394:N394"/>
    <mergeCell ref="X389:Z389"/>
    <mergeCell ref="AI389:AK389"/>
    <mergeCell ref="U390:V390"/>
    <mergeCell ref="N403:O403"/>
    <mergeCell ref="N404:O404"/>
    <mergeCell ref="C381:C383"/>
    <mergeCell ref="H381:H384"/>
    <mergeCell ref="S381:S384"/>
    <mergeCell ref="D383:D385"/>
    <mergeCell ref="C384:C385"/>
    <mergeCell ref="H385:H386"/>
    <mergeCell ref="S385:S386"/>
    <mergeCell ref="D386:D388"/>
    <mergeCell ref="J388:K388"/>
    <mergeCell ref="N381:O381"/>
    <mergeCell ref="AP376:AR376"/>
    <mergeCell ref="M377:O377"/>
    <mergeCell ref="H379:H380"/>
    <mergeCell ref="S379:S380"/>
    <mergeCell ref="Y379:AA379"/>
    <mergeCell ref="N379:O379"/>
    <mergeCell ref="N380:O380"/>
    <mergeCell ref="AL373:AN373"/>
    <mergeCell ref="AD376:AF376"/>
    <mergeCell ref="U366:V366"/>
    <mergeCell ref="J364:K364"/>
    <mergeCell ref="V364:W364"/>
    <mergeCell ref="G368:H368"/>
    <mergeCell ref="S368:T368"/>
    <mergeCell ref="M370:N370"/>
    <mergeCell ref="AJ365:AL365"/>
    <mergeCell ref="X365:Z365"/>
    <mergeCell ref="I366:J366"/>
    <mergeCell ref="C357:C359"/>
    <mergeCell ref="H357:H360"/>
    <mergeCell ref="S357:S360"/>
    <mergeCell ref="Y357:AA357"/>
    <mergeCell ref="E358:E360"/>
    <mergeCell ref="C360:C361"/>
    <mergeCell ref="H361:H362"/>
    <mergeCell ref="S361:S362"/>
    <mergeCell ref="AL349:AN349"/>
    <mergeCell ref="AD352:AF352"/>
    <mergeCell ref="AP352:AR352"/>
    <mergeCell ref="M353:O353"/>
    <mergeCell ref="E355:E357"/>
    <mergeCell ref="H355:H356"/>
    <mergeCell ref="S355:S356"/>
    <mergeCell ref="M345:N345"/>
    <mergeCell ref="M328:N328"/>
    <mergeCell ref="M329:N329"/>
    <mergeCell ref="M330:N330"/>
    <mergeCell ref="AC338:AE338"/>
    <mergeCell ref="AJ338:AL338"/>
    <mergeCell ref="U339:V339"/>
    <mergeCell ref="D337:E337"/>
    <mergeCell ref="V337:W337"/>
    <mergeCell ref="G341:H341"/>
    <mergeCell ref="S341:T341"/>
    <mergeCell ref="J343:K343"/>
    <mergeCell ref="Q343:R343"/>
    <mergeCell ref="D339:E339"/>
    <mergeCell ref="N355:O355"/>
    <mergeCell ref="N356:O356"/>
    <mergeCell ref="N357:O357"/>
    <mergeCell ref="C330:C332"/>
    <mergeCell ref="H330:H333"/>
    <mergeCell ref="M331:N331"/>
    <mergeCell ref="S330:S333"/>
    <mergeCell ref="AD331:AE331"/>
    <mergeCell ref="C333:C334"/>
    <mergeCell ref="H334:H335"/>
    <mergeCell ref="S334:S335"/>
    <mergeCell ref="AP325:AR325"/>
    <mergeCell ref="M326:O326"/>
    <mergeCell ref="H328:H329"/>
    <mergeCell ref="S328:S329"/>
    <mergeCell ref="AF329:AH329"/>
    <mergeCell ref="AJ311:AL311"/>
    <mergeCell ref="AF307:AF309"/>
    <mergeCell ref="AA322:AC322"/>
    <mergeCell ref="AL322:AN322"/>
    <mergeCell ref="J323:K323"/>
    <mergeCell ref="X325:Z325"/>
    <mergeCell ref="U312:V312"/>
    <mergeCell ref="M318:N318"/>
    <mergeCell ref="N303:O303"/>
    <mergeCell ref="AC311:AE311"/>
    <mergeCell ref="N304:O304"/>
    <mergeCell ref="D310:E310"/>
    <mergeCell ref="V310:W310"/>
    <mergeCell ref="G314:H314"/>
    <mergeCell ref="S314:T314"/>
    <mergeCell ref="I316:J316"/>
    <mergeCell ref="M316:N316"/>
    <mergeCell ref="Q316:R316"/>
    <mergeCell ref="D312:E312"/>
    <mergeCell ref="C303:C305"/>
    <mergeCell ref="H303:H306"/>
    <mergeCell ref="S303:S306"/>
    <mergeCell ref="C306:C307"/>
    <mergeCell ref="H307:H308"/>
    <mergeCell ref="S307:S308"/>
    <mergeCell ref="X298:Z298"/>
    <mergeCell ref="AP298:AR298"/>
    <mergeCell ref="M299:O299"/>
    <mergeCell ref="H301:H302"/>
    <mergeCell ref="S301:S302"/>
    <mergeCell ref="AF302:AH302"/>
    <mergeCell ref="AC287:AE287"/>
    <mergeCell ref="AJ287:AL287"/>
    <mergeCell ref="AF283:AF285"/>
    <mergeCell ref="AA295:AC295"/>
    <mergeCell ref="AL295:AN295"/>
    <mergeCell ref="L296:M296"/>
    <mergeCell ref="U288:V288"/>
    <mergeCell ref="D286:E286"/>
    <mergeCell ref="V286:W286"/>
    <mergeCell ref="G290:H290"/>
    <mergeCell ref="S290:T290"/>
    <mergeCell ref="M292:N292"/>
    <mergeCell ref="N301:O301"/>
    <mergeCell ref="N302:O302"/>
    <mergeCell ref="Y228:AA228"/>
    <mergeCell ref="N279:O279"/>
    <mergeCell ref="D288:E288"/>
    <mergeCell ref="C279:C281"/>
    <mergeCell ref="H279:H282"/>
    <mergeCell ref="S279:S282"/>
    <mergeCell ref="C282:C283"/>
    <mergeCell ref="H283:H284"/>
    <mergeCell ref="S283:S284"/>
    <mergeCell ref="AP274:AR274"/>
    <mergeCell ref="M275:O275"/>
    <mergeCell ref="H277:H278"/>
    <mergeCell ref="N277:O277"/>
    <mergeCell ref="S277:S278"/>
    <mergeCell ref="N278:O278"/>
    <mergeCell ref="AF278:AH278"/>
    <mergeCell ref="D255:D257"/>
    <mergeCell ref="D258:D260"/>
    <mergeCell ref="AA271:AC271"/>
    <mergeCell ref="AL271:AN271"/>
    <mergeCell ref="L272:M272"/>
    <mergeCell ref="X274:Z274"/>
    <mergeCell ref="S257:S258"/>
    <mergeCell ref="J260:K260"/>
    <mergeCell ref="V260:W260"/>
    <mergeCell ref="G264:H264"/>
    <mergeCell ref="S264:T264"/>
    <mergeCell ref="M266:N266"/>
    <mergeCell ref="AH256:AH258"/>
    <mergeCell ref="H251:H252"/>
    <mergeCell ref="M251:N251"/>
    <mergeCell ref="S251:S252"/>
    <mergeCell ref="Y251:AA251"/>
    <mergeCell ref="M252:N252"/>
    <mergeCell ref="C253:C255"/>
    <mergeCell ref="H253:H256"/>
    <mergeCell ref="S253:S256"/>
    <mergeCell ref="C256:C257"/>
    <mergeCell ref="H257:H258"/>
    <mergeCell ref="D225:E225"/>
    <mergeCell ref="AL245:AN245"/>
    <mergeCell ref="AD248:AF248"/>
    <mergeCell ref="AB208:AD208"/>
    <mergeCell ref="AF253:AH253"/>
    <mergeCell ref="AP248:AR248"/>
    <mergeCell ref="M249:O249"/>
    <mergeCell ref="S234:S235"/>
    <mergeCell ref="J237:K237"/>
    <mergeCell ref="V237:W237"/>
    <mergeCell ref="G241:H241"/>
    <mergeCell ref="S241:T241"/>
    <mergeCell ref="M243:N243"/>
    <mergeCell ref="H228:H229"/>
    <mergeCell ref="M228:N228"/>
    <mergeCell ref="S228:S229"/>
    <mergeCell ref="M229:N229"/>
    <mergeCell ref="C230:C232"/>
    <mergeCell ref="H230:H233"/>
    <mergeCell ref="S230:S233"/>
    <mergeCell ref="C233:C234"/>
    <mergeCell ref="H234:H235"/>
    <mergeCell ref="AL222:AN222"/>
    <mergeCell ref="AD225:AF225"/>
    <mergeCell ref="AP225:AR225"/>
    <mergeCell ref="M226:O226"/>
    <mergeCell ref="D214:E214"/>
    <mergeCell ref="V214:W214"/>
    <mergeCell ref="G218:H218"/>
    <mergeCell ref="S218:T218"/>
    <mergeCell ref="M220:N220"/>
    <mergeCell ref="H200:I200"/>
    <mergeCell ref="C207:C209"/>
    <mergeCell ref="H207:H210"/>
    <mergeCell ref="M207:N207"/>
    <mergeCell ref="S207:S210"/>
    <mergeCell ref="AE206:AG206"/>
    <mergeCell ref="C210:C211"/>
    <mergeCell ref="E210:E212"/>
    <mergeCell ref="H211:H212"/>
    <mergeCell ref="S211:S212"/>
    <mergeCell ref="AP202:AR202"/>
    <mergeCell ref="E204:E206"/>
    <mergeCell ref="M203:O203"/>
    <mergeCell ref="H205:H206"/>
    <mergeCell ref="M205:N205"/>
    <mergeCell ref="S205:S206"/>
    <mergeCell ref="W205:Y205"/>
    <mergeCell ref="I205:J205"/>
    <mergeCell ref="M206:N206"/>
    <mergeCell ref="M185:N185"/>
    <mergeCell ref="Y182:AA182"/>
    <mergeCell ref="AL199:AN199"/>
    <mergeCell ref="AC202:AE202"/>
    <mergeCell ref="J191:K191"/>
    <mergeCell ref="V191:W191"/>
    <mergeCell ref="G195:H195"/>
    <mergeCell ref="S195:T195"/>
    <mergeCell ref="M197:N197"/>
    <mergeCell ref="D183:E183"/>
    <mergeCell ref="E187:E189"/>
    <mergeCell ref="AP179:AR179"/>
    <mergeCell ref="C184:C186"/>
    <mergeCell ref="H184:H187"/>
    <mergeCell ref="S184:S187"/>
    <mergeCell ref="C187:C188"/>
    <mergeCell ref="H188:H189"/>
    <mergeCell ref="S188:S189"/>
    <mergeCell ref="AC179:AE179"/>
    <mergeCell ref="AL176:AN176"/>
    <mergeCell ref="M180:O180"/>
    <mergeCell ref="H182:H183"/>
    <mergeCell ref="M182:N182"/>
    <mergeCell ref="S182:S183"/>
    <mergeCell ref="M183:N183"/>
    <mergeCell ref="G172:H172"/>
    <mergeCell ref="S172:T172"/>
    <mergeCell ref="M174:N174"/>
    <mergeCell ref="F154:H154"/>
    <mergeCell ref="AF184:AH184"/>
    <mergeCell ref="C164:C165"/>
    <mergeCell ref="H165:H166"/>
    <mergeCell ref="S165:S166"/>
    <mergeCell ref="J168:K168"/>
    <mergeCell ref="P168:Q168"/>
    <mergeCell ref="C161:C163"/>
    <mergeCell ref="H161:H164"/>
    <mergeCell ref="S161:S164"/>
    <mergeCell ref="AD156:AF156"/>
    <mergeCell ref="E180:E182"/>
    <mergeCell ref="M184:N184"/>
    <mergeCell ref="AI139:AI141"/>
    <mergeCell ref="AN160:AP160"/>
    <mergeCell ref="AA152:AC152"/>
    <mergeCell ref="AI156:AK156"/>
    <mergeCell ref="M157:O157"/>
    <mergeCell ref="H159:H160"/>
    <mergeCell ref="M159:N159"/>
    <mergeCell ref="S159:S160"/>
    <mergeCell ref="M160:N160"/>
    <mergeCell ref="J144:K144"/>
    <mergeCell ref="V144:W144"/>
    <mergeCell ref="G148:H148"/>
    <mergeCell ref="S148:T148"/>
    <mergeCell ref="M150:N150"/>
    <mergeCell ref="E138:E140"/>
    <mergeCell ref="C137:C139"/>
    <mergeCell ref="H137:H140"/>
    <mergeCell ref="S137:S140"/>
    <mergeCell ref="C140:C141"/>
    <mergeCell ref="H141:H142"/>
    <mergeCell ref="S141:S142"/>
    <mergeCell ref="E135:E137"/>
    <mergeCell ref="AH139:AH141"/>
    <mergeCell ref="AL129:AN129"/>
    <mergeCell ref="Y137:AA137"/>
    <mergeCell ref="AP132:AR132"/>
    <mergeCell ref="M133:O133"/>
    <mergeCell ref="H135:H136"/>
    <mergeCell ref="M135:N135"/>
    <mergeCell ref="S135:S136"/>
    <mergeCell ref="M136:N136"/>
    <mergeCell ref="AF136:AH136"/>
    <mergeCell ref="M127:N127"/>
    <mergeCell ref="Q125:R125"/>
    <mergeCell ref="O105:P105"/>
    <mergeCell ref="M112:N112"/>
    <mergeCell ref="AI111:AK111"/>
    <mergeCell ref="AD132:AF132"/>
    <mergeCell ref="S116:S117"/>
    <mergeCell ref="D119:E119"/>
    <mergeCell ref="V119:W119"/>
    <mergeCell ref="G123:H123"/>
    <mergeCell ref="S123:T123"/>
    <mergeCell ref="I125:J125"/>
    <mergeCell ref="M125:N125"/>
    <mergeCell ref="H110:H111"/>
    <mergeCell ref="M110:N110"/>
    <mergeCell ref="S110:S111"/>
    <mergeCell ref="M111:N111"/>
    <mergeCell ref="AE111:AG111"/>
    <mergeCell ref="C112:C114"/>
    <mergeCell ref="H112:H115"/>
    <mergeCell ref="S112:S115"/>
    <mergeCell ref="C115:C116"/>
    <mergeCell ref="H116:H117"/>
    <mergeCell ref="AA104:AC104"/>
    <mergeCell ref="AL104:AN104"/>
    <mergeCell ref="K105:L105"/>
    <mergeCell ref="X107:Z107"/>
    <mergeCell ref="AP107:AR107"/>
    <mergeCell ref="M108:O108"/>
    <mergeCell ref="D94:E94"/>
    <mergeCell ref="V94:W94"/>
    <mergeCell ref="G98:H98"/>
    <mergeCell ref="S98:T98"/>
    <mergeCell ref="M102:N102"/>
    <mergeCell ref="K80:L80"/>
    <mergeCell ref="I100:J100"/>
    <mergeCell ref="O100:P100"/>
    <mergeCell ref="C87:C89"/>
    <mergeCell ref="H87:H90"/>
    <mergeCell ref="S87:S90"/>
    <mergeCell ref="C90:C91"/>
    <mergeCell ref="H91:H92"/>
    <mergeCell ref="S91:S92"/>
    <mergeCell ref="M83:O83"/>
    <mergeCell ref="H85:H86"/>
    <mergeCell ref="M85:N85"/>
    <mergeCell ref="S85:S86"/>
    <mergeCell ref="M86:N86"/>
    <mergeCell ref="AE86:AG86"/>
    <mergeCell ref="AD63:AE63"/>
    <mergeCell ref="AA79:AC79"/>
    <mergeCell ref="AL79:AN79"/>
    <mergeCell ref="X82:Z82"/>
    <mergeCell ref="AP82:AR82"/>
    <mergeCell ref="D69:E69"/>
    <mergeCell ref="V69:W69"/>
    <mergeCell ref="G73:H73"/>
    <mergeCell ref="S73:T73"/>
    <mergeCell ref="M77:N77"/>
    <mergeCell ref="J75:K75"/>
    <mergeCell ref="Q75:R75"/>
    <mergeCell ref="C62:C64"/>
    <mergeCell ref="H62:H65"/>
    <mergeCell ref="S62:S65"/>
    <mergeCell ref="C65:C66"/>
    <mergeCell ref="H66:H67"/>
    <mergeCell ref="S66:S67"/>
    <mergeCell ref="M62:N62"/>
    <mergeCell ref="S36:S39"/>
    <mergeCell ref="C39:C40"/>
    <mergeCell ref="H40:H41"/>
    <mergeCell ref="AA28:AC28"/>
    <mergeCell ref="L29:M29"/>
    <mergeCell ref="X31:Z31"/>
    <mergeCell ref="M32:O32"/>
    <mergeCell ref="S23:T23"/>
    <mergeCell ref="M36:N36"/>
    <mergeCell ref="AP57:AR57"/>
    <mergeCell ref="S40:S41"/>
    <mergeCell ref="D43:E43"/>
    <mergeCell ref="V43:W43"/>
    <mergeCell ref="G47:H47"/>
    <mergeCell ref="S47:T47"/>
    <mergeCell ref="M51:N51"/>
    <mergeCell ref="I49:J49"/>
    <mergeCell ref="M49:N49"/>
    <mergeCell ref="Q49:R49"/>
    <mergeCell ref="M35:N35"/>
    <mergeCell ref="AF35:AH35"/>
    <mergeCell ref="C36:C38"/>
    <mergeCell ref="H36:H39"/>
    <mergeCell ref="AA4:AC4"/>
    <mergeCell ref="X7:Z7"/>
    <mergeCell ref="AP7:AR7"/>
    <mergeCell ref="AL4:AN4"/>
    <mergeCell ref="AF11:AH11"/>
    <mergeCell ref="M8:O8"/>
    <mergeCell ref="S10:S11"/>
    <mergeCell ref="S12:S15"/>
    <mergeCell ref="S16:S17"/>
    <mergeCell ref="L5:M5"/>
    <mergeCell ref="M10:N10"/>
    <mergeCell ref="M11:N11"/>
    <mergeCell ref="AL28:AN28"/>
    <mergeCell ref="AP31:AR31"/>
    <mergeCell ref="M58:O58"/>
    <mergeCell ref="H60:H61"/>
    <mergeCell ref="M60:N60"/>
    <mergeCell ref="S60:S61"/>
    <mergeCell ref="M61:N61"/>
    <mergeCell ref="AF61:AH61"/>
    <mergeCell ref="AA54:AC54"/>
    <mergeCell ref="AL54:AN54"/>
    <mergeCell ref="J55:K55"/>
    <mergeCell ref="X57:Z57"/>
    <mergeCell ref="M25:N25"/>
    <mergeCell ref="H12:H15"/>
    <mergeCell ref="H10:H11"/>
    <mergeCell ref="H16:H17"/>
    <mergeCell ref="G23:H23"/>
    <mergeCell ref="H34:H35"/>
    <mergeCell ref="M34:N34"/>
    <mergeCell ref="S34:S35"/>
    <mergeCell ref="E988:E990"/>
    <mergeCell ref="S993:T993"/>
    <mergeCell ref="S994:T994"/>
    <mergeCell ref="AU946:AW946"/>
    <mergeCell ref="AU974:AW974"/>
    <mergeCell ref="AX974:AZ974"/>
    <mergeCell ref="BI980:BK980"/>
    <mergeCell ref="C978:C980"/>
    <mergeCell ref="M980:O980"/>
    <mergeCell ref="V980:X980"/>
    <mergeCell ref="AO981:AQ981"/>
    <mergeCell ref="BJ982:BL982"/>
    <mergeCell ref="S982:T982"/>
    <mergeCell ref="S983:T983"/>
    <mergeCell ref="H984:H985"/>
    <mergeCell ref="S984:T984"/>
    <mergeCell ref="AC984:AC985"/>
    <mergeCell ref="S985:T985"/>
    <mergeCell ref="AM984:AO984"/>
    <mergeCell ref="E983:E985"/>
    <mergeCell ref="I984:J984"/>
    <mergeCell ref="H978:I978"/>
    <mergeCell ref="X985:Y985"/>
    <mergeCell ref="X984:Y984"/>
    <mergeCell ref="AH985:AJ985"/>
    <mergeCell ref="AU947:AW947"/>
    <mergeCell ref="AX947:AZ947"/>
    <mergeCell ref="E948:E950"/>
    <mergeCell ref="BI950:BK950"/>
    <mergeCell ref="C951:C953"/>
    <mergeCell ref="E951:E953"/>
    <mergeCell ref="M953:O953"/>
    <mergeCell ref="AG256:AG258"/>
    <mergeCell ref="AT619:AT621"/>
    <mergeCell ref="AD1093:AD1095"/>
    <mergeCell ref="AN1142:AN1144"/>
    <mergeCell ref="W505:Y505"/>
    <mergeCell ref="BR10:BZ15"/>
    <mergeCell ref="C986:C988"/>
    <mergeCell ref="H986:H989"/>
    <mergeCell ref="S986:T986"/>
    <mergeCell ref="AC986:AC989"/>
    <mergeCell ref="S987:T987"/>
    <mergeCell ref="S988:T988"/>
    <mergeCell ref="C989:C990"/>
    <mergeCell ref="S989:T989"/>
    <mergeCell ref="H990:H991"/>
    <mergeCell ref="S990:T990"/>
    <mergeCell ref="AC990:AC991"/>
    <mergeCell ref="S991:T991"/>
    <mergeCell ref="S992:T992"/>
    <mergeCell ref="D993:E993"/>
    <mergeCell ref="S995:T995"/>
    <mergeCell ref="AF993:AG993"/>
    <mergeCell ref="AP665:AQ665"/>
    <mergeCell ref="AU619:AU621"/>
    <mergeCell ref="AU611:AU613"/>
    <mergeCell ref="AJ592:AL592"/>
    <mergeCell ref="AC596:AC598"/>
    <mergeCell ref="AC590:AC592"/>
    <mergeCell ref="D19:E19"/>
    <mergeCell ref="V19:W19"/>
    <mergeCell ref="C12:C14"/>
    <mergeCell ref="C15:C16"/>
  </mergeCells>
  <conditionalFormatting sqref="C532:C534">
    <cfRule type="cellIs" dxfId="3" priority="4" operator="lessThan">
      <formula>0</formula>
    </cfRule>
  </conditionalFormatting>
  <conditionalFormatting sqref="C559:C561">
    <cfRule type="cellIs" dxfId="2" priority="3" operator="lessThan">
      <formula>0</formula>
    </cfRule>
  </conditionalFormatting>
  <conditionalFormatting sqref="C586:C588">
    <cfRule type="cellIs" dxfId="1" priority="2" operator="lessThan">
      <formula>0</formula>
    </cfRule>
  </conditionalFormatting>
  <conditionalFormatting sqref="C610:C61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2025-02-21T08:07:08Z</dcterms:created>
  <dcterms:modified xsi:type="dcterms:W3CDTF">2025-03-09T07:46:53Z</dcterms:modified>
</cp:coreProperties>
</file>