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<sst xmlns="http://schemas.openxmlformats.org/spreadsheetml/2006/main" count="1465" uniqueCount="252">
  <si>
    <t>A</t>
  </si>
  <si>
    <t>B</t>
  </si>
  <si>
    <t>kn/m</t>
  </si>
  <si>
    <t>C</t>
  </si>
  <si>
    <t>*</t>
  </si>
  <si>
    <t>-</t>
  </si>
  <si>
    <t xml:space="preserve"> /</t>
  </si>
  <si>
    <t>=</t>
  </si>
  <si>
    <t>A=</t>
  </si>
  <si>
    <t>A=(</t>
  </si>
  <si>
    <t>) /</t>
  </si>
  <si>
    <t>kn</t>
  </si>
  <si>
    <t>+</t>
  </si>
  <si>
    <t>B=</t>
  </si>
  <si>
    <t>C=</t>
  </si>
  <si>
    <t>m</t>
  </si>
  <si>
    <t>P=</t>
  </si>
  <si>
    <t>) -</t>
  </si>
  <si>
    <t>A=((</t>
  </si>
  <si>
    <t xml:space="preserve"> =</t>
  </si>
  <si>
    <t>Ma</t>
  </si>
  <si>
    <t>Mb</t>
  </si>
  <si>
    <t>D</t>
  </si>
  <si>
    <t>² /</t>
  </si>
  <si>
    <t>q=</t>
  </si>
  <si>
    <t>L=</t>
  </si>
  <si>
    <t>a=</t>
  </si>
  <si>
    <t>Mij</t>
  </si>
  <si>
    <t>* (</t>
  </si>
  <si>
    <t xml:space="preserve"> / (</t>
  </si>
  <si>
    <t>)*(</t>
  </si>
  <si>
    <t>) =</t>
  </si>
  <si>
    <t>c</t>
  </si>
  <si>
    <r>
      <t>3</t>
    </r>
    <r>
      <rPr>
        <sz val="8"/>
        <rFont val="Arial"/>
        <family val="0"/>
      </rPr>
      <t xml:space="preserve"> / (</t>
    </r>
  </si>
  <si>
    <t>) +</t>
  </si>
  <si>
    <t>Ra</t>
  </si>
  <si>
    <t>Rb</t>
  </si>
  <si>
    <t>Ra= 5 * q * L /  8  =</t>
  </si>
  <si>
    <t>Rb= 3 * q * L /  8  =</t>
  </si>
  <si>
    <t>Mab = 9 * q * L² / 128 =</t>
  </si>
  <si>
    <t>Ma = q * L² / 8  =</t>
  </si>
  <si>
    <t>a</t>
  </si>
  <si>
    <t>b</t>
  </si>
  <si>
    <t>x</t>
  </si>
  <si>
    <t>açıklık momenti yeri       x =  5 * L /  8 =</t>
  </si>
  <si>
    <t>/</t>
  </si>
  <si>
    <r>
      <t>4</t>
    </r>
    <r>
      <rPr>
        <sz val="8"/>
        <rFont val="Arial"/>
        <family val="0"/>
      </rPr>
      <t>/(</t>
    </r>
  </si>
  <si>
    <r>
      <t xml:space="preserve">4 </t>
    </r>
    <r>
      <rPr>
        <sz val="8"/>
        <rFont val="Arial"/>
        <family val="0"/>
      </rPr>
      <t>/ (</t>
    </r>
  </si>
  <si>
    <r>
      <t>sehim        f =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 ( 185 * E * J ) = </t>
    </r>
  </si>
  <si>
    <t>E=</t>
  </si>
  <si>
    <t>J=</t>
  </si>
  <si>
    <t>cm</t>
  </si>
  <si>
    <r>
      <t xml:space="preserve"> -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33 ) * </t>
    </r>
  </si>
  <si>
    <t>KN/cm²   (elastisite modülü)</t>
  </si>
  <si>
    <t>cm4   (atalet momenti)</t>
  </si>
  <si>
    <t>KN</t>
  </si>
  <si>
    <r>
      <t xml:space="preserve">max sehim yeri       x = ( 15 -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33 ) * L / 16 = (</t>
    </r>
  </si>
  <si>
    <t>KNm        (mesnet momenti )</t>
  </si>
  <si>
    <t>KNm        (açıklık  momenti )</t>
  </si>
  <si>
    <t>Ma = q * L² / 15 =</t>
  </si>
  <si>
    <t>Ra= 2 * q * L /  5  =</t>
  </si>
  <si>
    <t>Rb= q * L /  10  =</t>
  </si>
  <si>
    <r>
      <t xml:space="preserve">Mab =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5 * q * L² / 75 =  </t>
    </r>
    <r>
      <rPr>
        <sz val="8"/>
        <rFont val="Symbol"/>
        <family val="1"/>
      </rPr>
      <t>Ö</t>
    </r>
  </si>
  <si>
    <r>
      <t xml:space="preserve"> -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</t>
    </r>
  </si>
  <si>
    <t>) *</t>
  </si>
  <si>
    <r>
      <t xml:space="preserve">açıklık momenti yeri         x = (1-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5 / 5 ) * L = (</t>
    </r>
  </si>
  <si>
    <r>
      <t xml:space="preserve">sehim        f = 2 *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5 *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(1875 * E *J ) =</t>
    </r>
  </si>
  <si>
    <r>
      <t xml:space="preserve">* </t>
    </r>
    <r>
      <rPr>
        <sz val="8"/>
        <rFont val="Symbol"/>
        <family val="1"/>
      </rPr>
      <t>Ö</t>
    </r>
  </si>
  <si>
    <r>
      <t xml:space="preserve">max sehim yeri                x = (1-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5 / 5 ) * L = (</t>
    </r>
  </si>
  <si>
    <t>KN/m</t>
  </si>
  <si>
    <t>Ma = 7 * q * L² / 120 =</t>
  </si>
  <si>
    <t>Rb= 11 * q * L /  40 =</t>
  </si>
  <si>
    <t>Ra= 9 * q * L /  40   =</t>
  </si>
  <si>
    <t>KNm     (açıklık  momenti )</t>
  </si>
  <si>
    <r>
      <t xml:space="preserve">açıklık momenti yeri         x = 3 *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5 * L / 10 =</t>
    </r>
  </si>
  <si>
    <r>
      <t>sehim        f = 0,00305 *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( E *J ) =</t>
    </r>
  </si>
  <si>
    <t>max sehim yeri       x = 0,598 * L =</t>
  </si>
  <si>
    <t>Q=</t>
  </si>
  <si>
    <t>Ma = 3 * Q * L / 16 =</t>
  </si>
  <si>
    <t>Ra= 11 * Q / 16  =</t>
  </si>
  <si>
    <t>Rb= 5 * Q / 16  =</t>
  </si>
  <si>
    <t>Mab = 5 * Q * L / 32  =</t>
  </si>
  <si>
    <t>açıklık momenti yeri         x = L / 2 =</t>
  </si>
  <si>
    <r>
      <t xml:space="preserve">sehim           f =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5 * Q * L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/ ( 240 * E * J ) = </t>
    </r>
    <r>
      <rPr>
        <sz val="8"/>
        <rFont val="Symbol"/>
        <family val="1"/>
      </rPr>
      <t>Ö</t>
    </r>
  </si>
  <si>
    <r>
      <t xml:space="preserve">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/(</t>
    </r>
  </si>
  <si>
    <t>Ma = Q * L =</t>
  </si>
  <si>
    <t>Ra= Q =</t>
  </si>
  <si>
    <r>
      <t>sehim           f = Q * L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/ ( 3 * E * J ) = </t>
    </r>
  </si>
  <si>
    <t>(b  ucunda)</t>
  </si>
  <si>
    <t>Ma = 3 * Q * L / 2  =</t>
  </si>
  <si>
    <t>Ra= 2 * Q =</t>
  </si>
  <si>
    <r>
      <t>sehim           f = 7 * Q * L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/ ( 16 * E * J ) = </t>
    </r>
  </si>
  <si>
    <t xml:space="preserve"> ² /</t>
  </si>
  <si>
    <t>Ma = q * L² / 2  =</t>
  </si>
  <si>
    <r>
      <t>sehim           f =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( 8 * E * J ) = </t>
    </r>
  </si>
  <si>
    <r>
      <t xml:space="preserve">4 </t>
    </r>
    <r>
      <rPr>
        <sz val="8"/>
        <rFont val="Arial"/>
        <family val="0"/>
      </rPr>
      <t>/(</t>
    </r>
  </si>
  <si>
    <t>Ma = q * L² / 6  =</t>
  </si>
  <si>
    <t>Ra= q * L / 2 =</t>
  </si>
  <si>
    <r>
      <t>sehim      f =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( 30 * E * J ) = </t>
    </r>
  </si>
  <si>
    <t>Mab = Q * L / 4 =</t>
  </si>
  <si>
    <t>açıklık momenti yeri       x = L / 2 =</t>
  </si>
  <si>
    <t>Ra=Rb= Q / 2 =</t>
  </si>
  <si>
    <r>
      <t>sehim      f = Q * L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/ ( 48 * E * J ) = </t>
    </r>
  </si>
  <si>
    <r>
      <t xml:space="preserve">3 </t>
    </r>
    <r>
      <rPr>
        <sz val="8"/>
        <rFont val="Arial"/>
        <family val="0"/>
      </rPr>
      <t>/(</t>
    </r>
  </si>
  <si>
    <t>max sehim yeri       x = L / 2 =</t>
  </si>
  <si>
    <t>Ra= Rb = Q =</t>
  </si>
  <si>
    <t>Mab = Q * L / 3 =</t>
  </si>
  <si>
    <r>
      <t>sehim      f = 23 * Q * L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/ ( 648 * E * J ) = </t>
    </r>
  </si>
  <si>
    <t xml:space="preserve">açıklık momenti yeri       L / 3 =&lt;  x  =&lt; 2 * L / 3 </t>
  </si>
  <si>
    <t>Ra=Rb= q * L /  2 =</t>
  </si>
  <si>
    <t>Mab = q * L² / 8 =</t>
  </si>
  <si>
    <r>
      <t>sehim     f = 5 *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( 384 * E * J ) = </t>
    </r>
  </si>
  <si>
    <t>Ra=Rb= q * L /  4 =</t>
  </si>
  <si>
    <t>Mab = q * L² / 12 =</t>
  </si>
  <si>
    <r>
      <t>sehim      f =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( 120 * E * J ) = </t>
    </r>
  </si>
  <si>
    <t>Ma = Mb = Q * L / 8  =</t>
  </si>
  <si>
    <t>Mab = Q * L / 8 =</t>
  </si>
  <si>
    <r>
      <t>sehim      f = Q * L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/ ( 192 * E * J ) = </t>
    </r>
  </si>
  <si>
    <t>Ra=Rb= q * L / 2 =</t>
  </si>
  <si>
    <t>Ma = Mb = q * L² / 12 =</t>
  </si>
  <si>
    <t>Mab = q * L² / 24 =</t>
  </si>
  <si>
    <r>
      <t>sehim      f =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( 384 * E * J ) = </t>
    </r>
  </si>
  <si>
    <t>Ra=Rb= q * L / 4 =</t>
  </si>
  <si>
    <t>Ma = Mb = 5 * q * L² / 96 =</t>
  </si>
  <si>
    <t>Mab = q * L² / 32 =</t>
  </si>
  <si>
    <r>
      <t>sehim      f =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( 549 * E * J ) = </t>
    </r>
  </si>
  <si>
    <t>Rb  = 3 * q * L /  20 =</t>
  </si>
  <si>
    <t>Ra = 7 * q * L /  20   =</t>
  </si>
  <si>
    <t>Ma = q * L² / 20 =</t>
  </si>
  <si>
    <t>Mb = q * L² / 30 =</t>
  </si>
  <si>
    <r>
      <t xml:space="preserve">Mab = (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270 - 10 ) * q * L² / 300 = ( </t>
    </r>
    <r>
      <rPr>
        <sz val="8"/>
        <rFont val="Symbol"/>
        <family val="1"/>
      </rPr>
      <t>Ö</t>
    </r>
  </si>
  <si>
    <r>
      <t xml:space="preserve">açıklık momenti yeri       x = ( 1- </t>
    </r>
    <r>
      <rPr>
        <sz val="8"/>
        <rFont val="Symbol"/>
        <family val="1"/>
      </rPr>
      <t xml:space="preserve">Ö </t>
    </r>
    <r>
      <rPr>
        <sz val="8"/>
        <rFont val="Arial"/>
        <family val="0"/>
      </rPr>
      <t>( 3 / 10 ) ) * L = (</t>
    </r>
  </si>
  <si>
    <r>
      <t xml:space="preserve"> - </t>
    </r>
    <r>
      <rPr>
        <sz val="8"/>
        <rFont val="Symbol"/>
        <family val="1"/>
      </rPr>
      <t xml:space="preserve">Ö </t>
    </r>
    <r>
      <rPr>
        <sz val="8"/>
        <rFont val="Arial"/>
        <family val="0"/>
      </rPr>
      <t xml:space="preserve"> (</t>
    </r>
  </si>
  <si>
    <t>) )*</t>
  </si>
  <si>
    <r>
      <t>sehim        f = 0,00131 *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( E *J ) =</t>
    </r>
  </si>
  <si>
    <t>max sehim yeri       x = 0,475 * L =</t>
  </si>
  <si>
    <t>Ra = Q * a /  L  =</t>
  </si>
  <si>
    <t>Rb = Q * ( 1 + a /  L ) =</t>
  </si>
  <si>
    <t>Mb = Q * a =</t>
  </si>
  <si>
    <t>KNm      (konsol momenti)</t>
  </si>
  <si>
    <r>
      <t xml:space="preserve">3  </t>
    </r>
    <r>
      <rPr>
        <sz val="8"/>
        <rFont val="Arial"/>
        <family val="0"/>
      </rPr>
      <t>*</t>
    </r>
  </si>
  <si>
    <t>cm    (yukarı doğru sehim)</t>
  </si>
  <si>
    <r>
      <t xml:space="preserve">f =  - </t>
    </r>
    <r>
      <rPr>
        <sz val="8"/>
        <rFont val="Symbol"/>
        <family val="1"/>
      </rPr>
      <t>Ö</t>
    </r>
  </si>
  <si>
    <r>
      <t xml:space="preserve">a ile b arası sehim        f = -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3 * Q * L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* a / (27 * E * J * L ) </t>
    </r>
  </si>
  <si>
    <r>
      <t xml:space="preserve">a ile b arası sehim  yeri    x =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3 / 3 * L = </t>
    </r>
    <r>
      <rPr>
        <sz val="8"/>
        <rFont val="Symbol"/>
        <family val="1"/>
      </rPr>
      <t>Ö</t>
    </r>
  </si>
  <si>
    <t xml:space="preserve">f= </t>
  </si>
  <si>
    <t>) * (  (</t>
  </si>
  <si>
    <t>) ² + (</t>
  </si>
  <si>
    <r>
      <t xml:space="preserve">)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0"/>
      </rPr>
      <t xml:space="preserve"> )  =</t>
    </r>
  </si>
  <si>
    <t>Ra = q * L / 2 * ( 1- ( a /  L ) ² )   =</t>
  </si>
  <si>
    <t xml:space="preserve"> - (</t>
  </si>
  <si>
    <t>) ² ) =</t>
  </si>
  <si>
    <t>Rb = q * L / 2 * ( 1+ ( a /  L ) ² )   =</t>
  </si>
  <si>
    <t xml:space="preserve"> + (</t>
  </si>
  <si>
    <t>Mab= q * L² / 8 * ( 1 -  ( a /  L )² )²=</t>
  </si>
  <si>
    <t>)² ) ² =</t>
  </si>
  <si>
    <t>KNm</t>
  </si>
  <si>
    <t>a ve b arası açıklık momenti</t>
  </si>
  <si>
    <t>a ve b arası açıklık momenti yeri</t>
  </si>
  <si>
    <t>x= L / 2 * ( 1 - (a / L )² ) =</t>
  </si>
  <si>
    <t>)² ) =</t>
  </si>
  <si>
    <t>Mb = q * a² / 2 =</t>
  </si>
  <si>
    <t>KNm    (konsol momenti)</t>
  </si>
  <si>
    <r>
      <t>konsol ucu sehim  f =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( 24 * E * J ) * ( - ( a / L ) + 4 * ( a / L )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+ 3 * ( a / L )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)</t>
    </r>
  </si>
  <si>
    <t>f=</t>
  </si>
  <si>
    <r>
      <t>4</t>
    </r>
    <r>
      <rPr>
        <sz val="8"/>
        <rFont val="Arial"/>
        <family val="0"/>
      </rPr>
      <t>/ (</t>
    </r>
  </si>
  <si>
    <t>) * ( - (</t>
  </si>
  <si>
    <r>
      <t>)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+</t>
    </r>
  </si>
  <si>
    <r>
      <t>)</t>
    </r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0"/>
      </rPr>
      <t>) =</t>
    </r>
  </si>
  <si>
    <r>
      <t>a ve b arası sehim    f =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( 24 * E * J ) * ( ( 1 - 2 * ( a / L ) ² ) * ( x / L ) - 2 * ( 1 - ( a / L ) ² ) * ( x / L)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+ ( x / L )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)</t>
    </r>
  </si>
  <si>
    <t>x=</t>
  </si>
  <si>
    <t>m deki sehim</t>
  </si>
  <si>
    <t xml:space="preserve"> ) * ( (</t>
  </si>
  <si>
    <t>)² ) * (</t>
  </si>
  <si>
    <r>
      <t xml:space="preserve"> )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+ (</t>
    </r>
  </si>
  <si>
    <r>
      <t>)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) =</t>
    </r>
  </si>
  <si>
    <t>Ma = Mb = Q * a =</t>
  </si>
  <si>
    <t>KN            (konsol momenti)</t>
  </si>
  <si>
    <t>d</t>
  </si>
  <si>
    <r>
      <t>a ve b arası sehim  f = Q * L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/ ( 8 * E * J ) * ( a / L ) = </t>
    </r>
  </si>
  <si>
    <r>
      <t>3</t>
    </r>
    <r>
      <rPr>
        <sz val="8"/>
        <rFont val="Arial"/>
        <family val="0"/>
      </rPr>
      <t>/(</t>
    </r>
  </si>
  <si>
    <t xml:space="preserve">a ve b arası sehim  yeri       x = L / 2 = </t>
  </si>
  <si>
    <t>)²+</t>
  </si>
  <si>
    <r>
      <t xml:space="preserve">) </t>
    </r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0"/>
      </rPr>
      <t>) =</t>
    </r>
  </si>
  <si>
    <r>
      <t>c ve d ucunda sehim  f = Q * L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/ ( 6 * E * J ) * ( 3 * ( a / L )² + 2 * ( a / L )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0"/>
      </rPr>
      <t>)</t>
    </r>
  </si>
  <si>
    <t>Ra =Rb = q * L / 2 * ( 1+ 2 * ( a /  L ) )   =</t>
  </si>
  <si>
    <t xml:space="preserve"> + </t>
  </si>
  <si>
    <t>) ) =</t>
  </si>
  <si>
    <t>Mab= q * L² / 8 * ( 1 -  4 * ( a /  L )² ) =</t>
  </si>
  <si>
    <t>a ve b arası açıklık momenti yeri      x = L / 2 =</t>
  </si>
  <si>
    <t>Ma = Mb = q * a² / 2 =</t>
  </si>
  <si>
    <r>
      <t>a ve b arası sehim    f =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( 24 * E * J ) * ( ( 1 - 6 * ( a / L ) ² ) * ( x / L ) + 6 * ( a / L ) ² * ( x / L) ² - 2 * ( x / L )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+ ( x / L )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)</t>
    </r>
  </si>
  <si>
    <t>)² * (</t>
  </si>
  <si>
    <t>)²-</t>
  </si>
  <si>
    <r>
      <t xml:space="preserve">)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0"/>
      </rPr>
      <t>+ (</t>
    </r>
  </si>
  <si>
    <r>
      <t>d ve c konsol ucu sehim  f =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( 24 * E * J ) * ( - ( a / L ) + 6 * ( a / L )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+ 3 * ( a / L )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)</t>
    </r>
  </si>
  <si>
    <t xml:space="preserve">a ve b arasında </t>
  </si>
  <si>
    <t>Dikkat sadece sarı hücrelere data giriniz.</t>
  </si>
  <si>
    <r>
      <t xml:space="preserve">Mab = ( 81*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5 - 105 ) * q * L² / 1800 =     (</t>
    </r>
  </si>
  <si>
    <t>Ra= q * L =</t>
  </si>
  <si>
    <r>
      <t>konsol ucu sehim    f= Q * L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/ ( 3 * E * J ) * ( ( a / L )² + ( a / L )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)</t>
    </r>
  </si>
  <si>
    <r>
      <t>TEK AÇIKLIKLI KİRİŞ MESNET TEPKİLERİ VE SEHİM HESAPLARI</t>
    </r>
    <r>
      <rPr>
        <b/>
        <sz val="8"/>
        <color indexed="60"/>
        <rFont val="Arial"/>
        <family val="2"/>
      </rPr>
      <t xml:space="preserve">                                                                                                                                                                             (inş.müh.Gürcan BERBEROĞLU  tel: 0532 366 02 04   www.betoncelik.com )</t>
    </r>
  </si>
  <si>
    <t>Ra= q * L /  6 =</t>
  </si>
  <si>
    <t>Rb= q * L /  3 =</t>
  </si>
  <si>
    <t>² =</t>
  </si>
  <si>
    <r>
      <t xml:space="preserve">açıklık momenti yeri      x = L /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3 =</t>
    </r>
  </si>
  <si>
    <r>
      <t xml:space="preserve"> / </t>
    </r>
    <r>
      <rPr>
        <sz val="8"/>
        <rFont val="Symbol"/>
        <family val="1"/>
      </rPr>
      <t>Ö</t>
    </r>
  </si>
  <si>
    <r>
      <t>sehim     f =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( 153,3 * E * J ) = </t>
    </r>
  </si>
  <si>
    <t>max sehim yeri       x = 0,5193296 * L=</t>
  </si>
  <si>
    <t>Mab = 0,06415 * q * L² =</t>
  </si>
  <si>
    <t>Ra =  q * a² / ( 2 * L ) =</t>
  </si>
  <si>
    <t>² /(</t>
  </si>
  <si>
    <t>Rb =  q * a * ( 1 + a  / ( 2 * L ) ) =</t>
  </si>
  <si>
    <t>) )  =</t>
  </si>
  <si>
    <r>
      <t xml:space="preserve">a ve b arası sehim    f = q * a² *  L² / ( 18 *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3 * E * J )=</t>
    </r>
  </si>
  <si>
    <r>
      <t xml:space="preserve">*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</t>
    </r>
  </si>
  <si>
    <t>² *</t>
  </si>
  <si>
    <r>
      <t>konsol ucu sehim  f = q * 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 * ( 4 * L + 3 * a ) / ( 24 * E * J ) =</t>
    </r>
  </si>
  <si>
    <r>
      <t>3</t>
    </r>
    <r>
      <rPr>
        <sz val="8"/>
        <rFont val="Arial"/>
        <family val="0"/>
      </rPr>
      <t xml:space="preserve"> *(</t>
    </r>
  </si>
  <si>
    <t>)/(</t>
  </si>
  <si>
    <r>
      <t xml:space="preserve">a ve b arası sehim yeri    x = L /  </t>
    </r>
    <r>
      <rPr>
        <sz val="8"/>
        <rFont val="Symbol"/>
        <family val="1"/>
      </rPr>
      <t>Ö</t>
    </r>
    <r>
      <rPr>
        <sz val="8"/>
        <rFont val="Arial"/>
        <family val="0"/>
      </rPr>
      <t xml:space="preserve"> 3 =</t>
    </r>
  </si>
  <si>
    <t>Mb =</t>
  </si>
  <si>
    <t>Ra= 0</t>
  </si>
  <si>
    <t>Ma = Mb =</t>
  </si>
  <si>
    <t xml:space="preserve">sehim           f = Mb * L² / ( 2 * E * J ) = </t>
  </si>
  <si>
    <t>Ma = q * L² / 3  =</t>
  </si>
  <si>
    <r>
      <t>sehim      f = 11 * q * L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 xml:space="preserve"> / ( 120 * E * J ) = </t>
    </r>
  </si>
  <si>
    <t>Ra =  Q * 3 * a  / ( 2 * L ) =</t>
  </si>
  <si>
    <t xml:space="preserve"> +(</t>
  </si>
  <si>
    <t>Rb =  Q * ( 1 + ( 3 * a ) / ( 2 * L )) =</t>
  </si>
  <si>
    <t>))=</t>
  </si>
  <si>
    <t>Ma = Q * a =</t>
  </si>
  <si>
    <t>(konsol momenti)</t>
  </si>
  <si>
    <t>a ve b arası sehim    f = Q * a * L² / (27 * E * J ) =</t>
  </si>
  <si>
    <t>²/(</t>
  </si>
  <si>
    <t>a ve b arası sehim yeri             x = 2 * L / 3 =</t>
  </si>
  <si>
    <t>konsol ucu sehim  f= Q * a² * L / (12 * E * J ) * (3 + a /  L ) =</t>
  </si>
  <si>
    <t>Rb= q * L / 8 * ( 3 + ( 8 * a ) / L + 6 * a² / L² ) =</t>
  </si>
  <si>
    <t>²)=</t>
  </si>
  <si>
    <t>Ra = q * ( L + a ) - Rb =</t>
  </si>
  <si>
    <t>Mb= q * a² / 2 =</t>
  </si>
  <si>
    <t>Ma = q * (L + a )² - Rb * L =</t>
  </si>
  <si>
    <t>KNm         (konsol momenti)</t>
  </si>
  <si>
    <r>
      <t>c noktasında sehim   f = q * a * L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/ ( 48 * E * J ) * ( 6 * 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/ L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+ 6 * a² / L² - 1 )</t>
    </r>
  </si>
  <si>
    <r>
      <t>3</t>
    </r>
    <r>
      <rPr>
        <sz val="8"/>
        <rFont val="Arial"/>
        <family val="0"/>
      </rPr>
      <t xml:space="preserve"> /</t>
    </r>
  </si>
  <si>
    <r>
      <t xml:space="preserve">3 </t>
    </r>
    <r>
      <rPr>
        <sz val="8"/>
        <rFont val="Arial"/>
        <family val="0"/>
      </rPr>
      <t>+</t>
    </r>
  </si>
  <si>
    <t>² -</t>
  </si>
  <si>
    <t>a ve b arası sehim    f = q * L² * x² / ( 48 * E * J ) * ( 1 - x /  L ) * (3 * ( 1 - (2 * a²) / L² )- 2 * x /  L )</t>
  </si>
  <si>
    <t xml:space="preserve"> -(</t>
  </si>
  <si>
    <t>²)/</t>
  </si>
  <si>
    <t>²)-</t>
  </si>
  <si>
    <t>KİRİŞ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</si>
</sst>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"/>
    <numFmt numFmtId="174" formatCode="0.000000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sz val="16"/>
      <color indexed="60"/>
      <name val="Arial"/>
      <family val="2"/>
    </font>
    <font>
      <b/>
      <sz val="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0"/>
    </font>
  </fonts>
  <fills count="8">
    <fill>
      <patternFill/>
    </fill>
    <fill>
      <patternFill patternType="gray125"/>
    </fill>
    <fill>
      <patternFill patternType="darkVertical"/>
    </fill>
    <fill>
      <patternFill patternType="darkUp"/>
    </fill>
    <fill>
      <patternFill patternType="darkDown"/>
    </fill>
    <fill>
      <patternFill patternType="lightVertical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8" xfId="0" applyFont="1" applyBorder="1" applyAlignment="1" applyProtection="1">
      <alignment vertical="center"/>
      <protection hidden="1"/>
    </xf>
    <xf numFmtId="0" fontId="1" fillId="4" borderId="8" xfId="0" applyFont="1" applyFill="1" applyBorder="1" applyAlignment="1" applyProtection="1">
      <alignment vertical="center"/>
      <protection hidden="1"/>
    </xf>
    <xf numFmtId="0" fontId="1" fillId="5" borderId="15" xfId="0" applyFont="1" applyFill="1" applyBorder="1" applyAlignment="1" applyProtection="1">
      <alignment vertical="center"/>
      <protection hidden="1"/>
    </xf>
    <xf numFmtId="0" fontId="1" fillId="5" borderId="16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1" fillId="5" borderId="17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4" borderId="7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0" fontId="1" fillId="5" borderId="18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6" fillId="7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5</xdr:row>
      <xdr:rowOff>9525</xdr:rowOff>
    </xdr:from>
    <xdr:to>
      <xdr:col>15</xdr:col>
      <xdr:colOff>104775</xdr:colOff>
      <xdr:row>5</xdr:row>
      <xdr:rowOff>123825</xdr:rowOff>
    </xdr:to>
    <xdr:sp>
      <xdr:nvSpPr>
        <xdr:cNvPr id="1" name="AutoShape 42"/>
        <xdr:cNvSpPr>
          <a:spLocks/>
        </xdr:cNvSpPr>
      </xdr:nvSpPr>
      <xdr:spPr>
        <a:xfrm>
          <a:off x="2628900" y="1076325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133350</xdr:rowOff>
    </xdr:from>
    <xdr:to>
      <xdr:col>10</xdr:col>
      <xdr:colOff>38100</xdr:colOff>
      <xdr:row>4</xdr:row>
      <xdr:rowOff>95250</xdr:rowOff>
    </xdr:to>
    <xdr:sp>
      <xdr:nvSpPr>
        <xdr:cNvPr id="2" name="Line 43"/>
        <xdr:cNvSpPr>
          <a:spLocks/>
        </xdr:cNvSpPr>
      </xdr:nvSpPr>
      <xdr:spPr>
        <a:xfrm flipV="1">
          <a:off x="1457325" y="762000"/>
          <a:ext cx="390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</xdr:row>
      <xdr:rowOff>66675</xdr:rowOff>
    </xdr:from>
    <xdr:to>
      <xdr:col>4</xdr:col>
      <xdr:colOff>47625</xdr:colOff>
      <xdr:row>5</xdr:row>
      <xdr:rowOff>114300</xdr:rowOff>
    </xdr:to>
    <xdr:sp>
      <xdr:nvSpPr>
        <xdr:cNvPr id="3" name="Arc 45"/>
        <xdr:cNvSpPr>
          <a:spLocks/>
        </xdr:cNvSpPr>
      </xdr:nvSpPr>
      <xdr:spPr>
        <a:xfrm rot="2699122" flipH="1" flipV="1">
          <a:off x="457200" y="838200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66675</xdr:rowOff>
    </xdr:from>
    <xdr:to>
      <xdr:col>5</xdr:col>
      <xdr:colOff>0</xdr:colOff>
      <xdr:row>8</xdr:row>
      <xdr:rowOff>66675</xdr:rowOff>
    </xdr:to>
    <xdr:sp>
      <xdr:nvSpPr>
        <xdr:cNvPr id="4" name="Line 46"/>
        <xdr:cNvSpPr>
          <a:spLocks/>
        </xdr:cNvSpPr>
      </xdr:nvSpPr>
      <xdr:spPr>
        <a:xfrm>
          <a:off x="904875" y="12954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0</xdr:rowOff>
    </xdr:from>
    <xdr:to>
      <xdr:col>15</xdr:col>
      <xdr:colOff>66675</xdr:colOff>
      <xdr:row>8</xdr:row>
      <xdr:rowOff>0</xdr:rowOff>
    </xdr:to>
    <xdr:sp>
      <xdr:nvSpPr>
        <xdr:cNvPr id="5" name="Line 47"/>
        <xdr:cNvSpPr>
          <a:spLocks/>
        </xdr:cNvSpPr>
      </xdr:nvSpPr>
      <xdr:spPr>
        <a:xfrm>
          <a:off x="847725" y="15240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47625</xdr:rowOff>
    </xdr:from>
    <xdr:to>
      <xdr:col>15</xdr:col>
      <xdr:colOff>0</xdr:colOff>
      <xdr:row>8</xdr:row>
      <xdr:rowOff>66675</xdr:rowOff>
    </xdr:to>
    <xdr:sp>
      <xdr:nvSpPr>
        <xdr:cNvPr id="6" name="Line 48"/>
        <xdr:cNvSpPr>
          <a:spLocks/>
        </xdr:cNvSpPr>
      </xdr:nvSpPr>
      <xdr:spPr>
        <a:xfrm>
          <a:off x="2714625" y="142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114300</xdr:rowOff>
    </xdr:from>
    <xdr:to>
      <xdr:col>5</xdr:col>
      <xdr:colOff>28575</xdr:colOff>
      <xdr:row>8</xdr:row>
      <xdr:rowOff>19050</xdr:rowOff>
    </xdr:to>
    <xdr:sp>
      <xdr:nvSpPr>
        <xdr:cNvPr id="7" name="Line 49"/>
        <xdr:cNvSpPr>
          <a:spLocks/>
        </xdr:cNvSpPr>
      </xdr:nvSpPr>
      <xdr:spPr>
        <a:xfrm flipH="1">
          <a:off x="876300" y="14954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7</xdr:row>
      <xdr:rowOff>123825</xdr:rowOff>
    </xdr:from>
    <xdr:to>
      <xdr:col>15</xdr:col>
      <xdr:colOff>28575</xdr:colOff>
      <xdr:row>8</xdr:row>
      <xdr:rowOff>28575</xdr:rowOff>
    </xdr:to>
    <xdr:sp>
      <xdr:nvSpPr>
        <xdr:cNvPr id="8" name="Line 50"/>
        <xdr:cNvSpPr>
          <a:spLocks/>
        </xdr:cNvSpPr>
      </xdr:nvSpPr>
      <xdr:spPr>
        <a:xfrm flipH="1">
          <a:off x="2686050" y="1504950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28</xdr:row>
      <xdr:rowOff>9525</xdr:rowOff>
    </xdr:from>
    <xdr:to>
      <xdr:col>15</xdr:col>
      <xdr:colOff>104775</xdr:colOff>
      <xdr:row>28</xdr:row>
      <xdr:rowOff>123825</xdr:rowOff>
    </xdr:to>
    <xdr:sp>
      <xdr:nvSpPr>
        <xdr:cNvPr id="9" name="AutoShape 130"/>
        <xdr:cNvSpPr>
          <a:spLocks/>
        </xdr:cNvSpPr>
      </xdr:nvSpPr>
      <xdr:spPr>
        <a:xfrm>
          <a:off x="2628900" y="4419600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26</xdr:row>
      <xdr:rowOff>66675</xdr:rowOff>
    </xdr:from>
    <xdr:to>
      <xdr:col>4</xdr:col>
      <xdr:colOff>47625</xdr:colOff>
      <xdr:row>28</xdr:row>
      <xdr:rowOff>114300</xdr:rowOff>
    </xdr:to>
    <xdr:sp>
      <xdr:nvSpPr>
        <xdr:cNvPr id="10" name="Arc 131"/>
        <xdr:cNvSpPr>
          <a:spLocks/>
        </xdr:cNvSpPr>
      </xdr:nvSpPr>
      <xdr:spPr>
        <a:xfrm rot="2508333" flipH="1" flipV="1">
          <a:off x="457200" y="4181475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66675</xdr:rowOff>
    </xdr:from>
    <xdr:to>
      <xdr:col>5</xdr:col>
      <xdr:colOff>0</xdr:colOff>
      <xdr:row>31</xdr:row>
      <xdr:rowOff>66675</xdr:rowOff>
    </xdr:to>
    <xdr:sp>
      <xdr:nvSpPr>
        <xdr:cNvPr id="11" name="Line 132"/>
        <xdr:cNvSpPr>
          <a:spLocks/>
        </xdr:cNvSpPr>
      </xdr:nvSpPr>
      <xdr:spPr>
        <a:xfrm>
          <a:off x="904875" y="4638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31</xdr:row>
      <xdr:rowOff>0</xdr:rowOff>
    </xdr:from>
    <xdr:to>
      <xdr:col>15</xdr:col>
      <xdr:colOff>47625</xdr:colOff>
      <xdr:row>31</xdr:row>
      <xdr:rowOff>0</xdr:rowOff>
    </xdr:to>
    <xdr:sp>
      <xdr:nvSpPr>
        <xdr:cNvPr id="12" name="Line 133"/>
        <xdr:cNvSpPr>
          <a:spLocks/>
        </xdr:cNvSpPr>
      </xdr:nvSpPr>
      <xdr:spPr>
        <a:xfrm>
          <a:off x="847725" y="4867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31</xdr:row>
      <xdr:rowOff>57150</xdr:rowOff>
    </xdr:to>
    <xdr:sp>
      <xdr:nvSpPr>
        <xdr:cNvPr id="13" name="Line 134"/>
        <xdr:cNvSpPr>
          <a:spLocks/>
        </xdr:cNvSpPr>
      </xdr:nvSpPr>
      <xdr:spPr>
        <a:xfrm>
          <a:off x="2714625" y="47244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30</xdr:row>
      <xdr:rowOff>104775</xdr:rowOff>
    </xdr:from>
    <xdr:to>
      <xdr:col>5</xdr:col>
      <xdr:colOff>28575</xdr:colOff>
      <xdr:row>31</xdr:row>
      <xdr:rowOff>38100</xdr:rowOff>
    </xdr:to>
    <xdr:sp>
      <xdr:nvSpPr>
        <xdr:cNvPr id="14" name="Line 135"/>
        <xdr:cNvSpPr>
          <a:spLocks/>
        </xdr:cNvSpPr>
      </xdr:nvSpPr>
      <xdr:spPr>
        <a:xfrm flipH="1">
          <a:off x="876300" y="482917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30</xdr:row>
      <xdr:rowOff>104775</xdr:rowOff>
    </xdr:from>
    <xdr:to>
      <xdr:col>15</xdr:col>
      <xdr:colOff>28575</xdr:colOff>
      <xdr:row>31</xdr:row>
      <xdr:rowOff>38100</xdr:rowOff>
    </xdr:to>
    <xdr:sp>
      <xdr:nvSpPr>
        <xdr:cNvPr id="15" name="Line 136"/>
        <xdr:cNvSpPr>
          <a:spLocks/>
        </xdr:cNvSpPr>
      </xdr:nvSpPr>
      <xdr:spPr>
        <a:xfrm flipH="1">
          <a:off x="2676525" y="4829175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133350</xdr:rowOff>
    </xdr:from>
    <xdr:to>
      <xdr:col>5</xdr:col>
      <xdr:colOff>0</xdr:colOff>
      <xdr:row>27</xdr:row>
      <xdr:rowOff>142875</xdr:rowOff>
    </xdr:to>
    <xdr:sp>
      <xdr:nvSpPr>
        <xdr:cNvPr id="16" name="Line 142"/>
        <xdr:cNvSpPr>
          <a:spLocks/>
        </xdr:cNvSpPr>
      </xdr:nvSpPr>
      <xdr:spPr>
        <a:xfrm flipV="1">
          <a:off x="904875" y="38195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133350</xdr:rowOff>
    </xdr:from>
    <xdr:to>
      <xdr:col>15</xdr:col>
      <xdr:colOff>0</xdr:colOff>
      <xdr:row>28</xdr:row>
      <xdr:rowOff>0</xdr:rowOff>
    </xdr:to>
    <xdr:sp>
      <xdr:nvSpPr>
        <xdr:cNvPr id="17" name="Line 143"/>
        <xdr:cNvSpPr>
          <a:spLocks/>
        </xdr:cNvSpPr>
      </xdr:nvSpPr>
      <xdr:spPr>
        <a:xfrm>
          <a:off x="904875" y="3819525"/>
          <a:ext cx="18097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114300</xdr:rowOff>
    </xdr:from>
    <xdr:to>
      <xdr:col>7</xdr:col>
      <xdr:colOff>0</xdr:colOff>
      <xdr:row>27</xdr:row>
      <xdr:rowOff>142875</xdr:rowOff>
    </xdr:to>
    <xdr:sp>
      <xdr:nvSpPr>
        <xdr:cNvPr id="18" name="Line 144"/>
        <xdr:cNvSpPr>
          <a:spLocks/>
        </xdr:cNvSpPr>
      </xdr:nvSpPr>
      <xdr:spPr>
        <a:xfrm>
          <a:off x="1266825" y="3943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38100</xdr:rowOff>
    </xdr:from>
    <xdr:to>
      <xdr:col>6</xdr:col>
      <xdr:colOff>0</xdr:colOff>
      <xdr:row>27</xdr:row>
      <xdr:rowOff>142875</xdr:rowOff>
    </xdr:to>
    <xdr:sp>
      <xdr:nvSpPr>
        <xdr:cNvPr id="19" name="Line 145"/>
        <xdr:cNvSpPr>
          <a:spLocks/>
        </xdr:cNvSpPr>
      </xdr:nvSpPr>
      <xdr:spPr>
        <a:xfrm>
          <a:off x="1085850" y="38671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85725</xdr:rowOff>
    </xdr:from>
    <xdr:to>
      <xdr:col>9</xdr:col>
      <xdr:colOff>0</xdr:colOff>
      <xdr:row>28</xdr:row>
      <xdr:rowOff>0</xdr:rowOff>
    </xdr:to>
    <xdr:sp>
      <xdr:nvSpPr>
        <xdr:cNvPr id="20" name="Line 146"/>
        <xdr:cNvSpPr>
          <a:spLocks/>
        </xdr:cNvSpPr>
      </xdr:nvSpPr>
      <xdr:spPr>
        <a:xfrm>
          <a:off x="1628775" y="4057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9525</xdr:rowOff>
    </xdr:from>
    <xdr:to>
      <xdr:col>10</xdr:col>
      <xdr:colOff>0</xdr:colOff>
      <xdr:row>27</xdr:row>
      <xdr:rowOff>142875</xdr:rowOff>
    </xdr:to>
    <xdr:sp>
      <xdr:nvSpPr>
        <xdr:cNvPr id="21" name="Line 147"/>
        <xdr:cNvSpPr>
          <a:spLocks/>
        </xdr:cNvSpPr>
      </xdr:nvSpPr>
      <xdr:spPr>
        <a:xfrm>
          <a:off x="1809750" y="4124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66675</xdr:rowOff>
    </xdr:from>
    <xdr:to>
      <xdr:col>11</xdr:col>
      <xdr:colOff>0</xdr:colOff>
      <xdr:row>28</xdr:row>
      <xdr:rowOff>9525</xdr:rowOff>
    </xdr:to>
    <xdr:sp>
      <xdr:nvSpPr>
        <xdr:cNvPr id="22" name="Line 148"/>
        <xdr:cNvSpPr>
          <a:spLocks/>
        </xdr:cNvSpPr>
      </xdr:nvSpPr>
      <xdr:spPr>
        <a:xfrm>
          <a:off x="1990725" y="41814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114300</xdr:rowOff>
    </xdr:from>
    <xdr:to>
      <xdr:col>12</xdr:col>
      <xdr:colOff>9525</xdr:colOff>
      <xdr:row>28</xdr:row>
      <xdr:rowOff>0</xdr:rowOff>
    </xdr:to>
    <xdr:sp>
      <xdr:nvSpPr>
        <xdr:cNvPr id="23" name="Line 149"/>
        <xdr:cNvSpPr>
          <a:spLocks/>
        </xdr:cNvSpPr>
      </xdr:nvSpPr>
      <xdr:spPr>
        <a:xfrm>
          <a:off x="2181225" y="42291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28575</xdr:rowOff>
    </xdr:from>
    <xdr:to>
      <xdr:col>13</xdr:col>
      <xdr:colOff>0</xdr:colOff>
      <xdr:row>28</xdr:row>
      <xdr:rowOff>9525</xdr:rowOff>
    </xdr:to>
    <xdr:sp>
      <xdr:nvSpPr>
        <xdr:cNvPr id="24" name="Line 150"/>
        <xdr:cNvSpPr>
          <a:spLocks/>
        </xdr:cNvSpPr>
      </xdr:nvSpPr>
      <xdr:spPr>
        <a:xfrm>
          <a:off x="2352675" y="4286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9</xdr:col>
      <xdr:colOff>123825</xdr:colOff>
      <xdr:row>24</xdr:row>
      <xdr:rowOff>85725</xdr:rowOff>
    </xdr:to>
    <xdr:sp>
      <xdr:nvSpPr>
        <xdr:cNvPr id="25" name="Line 152"/>
        <xdr:cNvSpPr>
          <a:spLocks/>
        </xdr:cNvSpPr>
      </xdr:nvSpPr>
      <xdr:spPr>
        <a:xfrm flipV="1">
          <a:off x="904875" y="3705225"/>
          <a:ext cx="8477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28575</xdr:rowOff>
    </xdr:from>
    <xdr:to>
      <xdr:col>8</xdr:col>
      <xdr:colOff>0</xdr:colOff>
      <xdr:row>28</xdr:row>
      <xdr:rowOff>0</xdr:rowOff>
    </xdr:to>
    <xdr:sp>
      <xdr:nvSpPr>
        <xdr:cNvPr id="26" name="Line 153"/>
        <xdr:cNvSpPr>
          <a:spLocks/>
        </xdr:cNvSpPr>
      </xdr:nvSpPr>
      <xdr:spPr>
        <a:xfrm flipV="1">
          <a:off x="1447800" y="40005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50</xdr:row>
      <xdr:rowOff>9525</xdr:rowOff>
    </xdr:from>
    <xdr:to>
      <xdr:col>15</xdr:col>
      <xdr:colOff>104775</xdr:colOff>
      <xdr:row>50</xdr:row>
      <xdr:rowOff>123825</xdr:rowOff>
    </xdr:to>
    <xdr:sp>
      <xdr:nvSpPr>
        <xdr:cNvPr id="27" name="AutoShape 154"/>
        <xdr:cNvSpPr>
          <a:spLocks/>
        </xdr:cNvSpPr>
      </xdr:nvSpPr>
      <xdr:spPr>
        <a:xfrm>
          <a:off x="2628900" y="7620000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66675</xdr:rowOff>
    </xdr:from>
    <xdr:to>
      <xdr:col>4</xdr:col>
      <xdr:colOff>47625</xdr:colOff>
      <xdr:row>50</xdr:row>
      <xdr:rowOff>114300</xdr:rowOff>
    </xdr:to>
    <xdr:sp>
      <xdr:nvSpPr>
        <xdr:cNvPr id="28" name="Arc 155"/>
        <xdr:cNvSpPr>
          <a:spLocks/>
        </xdr:cNvSpPr>
      </xdr:nvSpPr>
      <xdr:spPr>
        <a:xfrm rot="2508333" flipH="1" flipV="1">
          <a:off x="457200" y="7381875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66675</xdr:rowOff>
    </xdr:from>
    <xdr:to>
      <xdr:col>5</xdr:col>
      <xdr:colOff>0</xdr:colOff>
      <xdr:row>54</xdr:row>
      <xdr:rowOff>47625</xdr:rowOff>
    </xdr:to>
    <xdr:sp>
      <xdr:nvSpPr>
        <xdr:cNvPr id="29" name="Line 156"/>
        <xdr:cNvSpPr>
          <a:spLocks/>
        </xdr:cNvSpPr>
      </xdr:nvSpPr>
      <xdr:spPr>
        <a:xfrm>
          <a:off x="904875" y="78390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54</xdr:row>
      <xdr:rowOff>0</xdr:rowOff>
    </xdr:from>
    <xdr:to>
      <xdr:col>15</xdr:col>
      <xdr:colOff>66675</xdr:colOff>
      <xdr:row>54</xdr:row>
      <xdr:rowOff>0</xdr:rowOff>
    </xdr:to>
    <xdr:sp>
      <xdr:nvSpPr>
        <xdr:cNvPr id="30" name="Line 157"/>
        <xdr:cNvSpPr>
          <a:spLocks/>
        </xdr:cNvSpPr>
      </xdr:nvSpPr>
      <xdr:spPr>
        <a:xfrm>
          <a:off x="847725" y="82105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28575</xdr:rowOff>
    </xdr:from>
    <xdr:to>
      <xdr:col>15</xdr:col>
      <xdr:colOff>0</xdr:colOff>
      <xdr:row>54</xdr:row>
      <xdr:rowOff>57150</xdr:rowOff>
    </xdr:to>
    <xdr:sp>
      <xdr:nvSpPr>
        <xdr:cNvPr id="31" name="Line 158"/>
        <xdr:cNvSpPr>
          <a:spLocks/>
        </xdr:cNvSpPr>
      </xdr:nvSpPr>
      <xdr:spPr>
        <a:xfrm>
          <a:off x="2714625" y="7953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53</xdr:row>
      <xdr:rowOff>114300</xdr:rowOff>
    </xdr:from>
    <xdr:to>
      <xdr:col>5</xdr:col>
      <xdr:colOff>28575</xdr:colOff>
      <xdr:row>54</xdr:row>
      <xdr:rowOff>28575</xdr:rowOff>
    </xdr:to>
    <xdr:sp>
      <xdr:nvSpPr>
        <xdr:cNvPr id="32" name="Line 159"/>
        <xdr:cNvSpPr>
          <a:spLocks/>
        </xdr:cNvSpPr>
      </xdr:nvSpPr>
      <xdr:spPr>
        <a:xfrm flipH="1">
          <a:off x="876300" y="81819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53</xdr:row>
      <xdr:rowOff>114300</xdr:rowOff>
    </xdr:from>
    <xdr:to>
      <xdr:col>15</xdr:col>
      <xdr:colOff>28575</xdr:colOff>
      <xdr:row>54</xdr:row>
      <xdr:rowOff>28575</xdr:rowOff>
    </xdr:to>
    <xdr:sp>
      <xdr:nvSpPr>
        <xdr:cNvPr id="33" name="Line 160"/>
        <xdr:cNvSpPr>
          <a:spLocks/>
        </xdr:cNvSpPr>
      </xdr:nvSpPr>
      <xdr:spPr>
        <a:xfrm flipH="1">
          <a:off x="2676525" y="81819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47625</xdr:rowOff>
    </xdr:from>
    <xdr:to>
      <xdr:col>7</xdr:col>
      <xdr:colOff>0</xdr:colOff>
      <xdr:row>49</xdr:row>
      <xdr:rowOff>142875</xdr:rowOff>
    </xdr:to>
    <xdr:sp>
      <xdr:nvSpPr>
        <xdr:cNvPr id="34" name="Line 163"/>
        <xdr:cNvSpPr>
          <a:spLocks/>
        </xdr:cNvSpPr>
      </xdr:nvSpPr>
      <xdr:spPr>
        <a:xfrm>
          <a:off x="1266825" y="75057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95250</xdr:rowOff>
    </xdr:from>
    <xdr:to>
      <xdr:col>6</xdr:col>
      <xdr:colOff>0</xdr:colOff>
      <xdr:row>49</xdr:row>
      <xdr:rowOff>142875</xdr:rowOff>
    </xdr:to>
    <xdr:sp>
      <xdr:nvSpPr>
        <xdr:cNvPr id="35" name="Line 164"/>
        <xdr:cNvSpPr>
          <a:spLocks/>
        </xdr:cNvSpPr>
      </xdr:nvSpPr>
      <xdr:spPr>
        <a:xfrm>
          <a:off x="1085850" y="75533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47625</xdr:rowOff>
    </xdr:from>
    <xdr:to>
      <xdr:col>12</xdr:col>
      <xdr:colOff>0</xdr:colOff>
      <xdr:row>50</xdr:row>
      <xdr:rowOff>0</xdr:rowOff>
    </xdr:to>
    <xdr:sp>
      <xdr:nvSpPr>
        <xdr:cNvPr id="36" name="Line 168"/>
        <xdr:cNvSpPr>
          <a:spLocks/>
        </xdr:cNvSpPr>
      </xdr:nvSpPr>
      <xdr:spPr>
        <a:xfrm>
          <a:off x="2171700" y="72199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133350</xdr:rowOff>
    </xdr:from>
    <xdr:to>
      <xdr:col>13</xdr:col>
      <xdr:colOff>0</xdr:colOff>
      <xdr:row>50</xdr:row>
      <xdr:rowOff>0</xdr:rowOff>
    </xdr:to>
    <xdr:sp>
      <xdr:nvSpPr>
        <xdr:cNvPr id="37" name="Line 169"/>
        <xdr:cNvSpPr>
          <a:spLocks/>
        </xdr:cNvSpPr>
      </xdr:nvSpPr>
      <xdr:spPr>
        <a:xfrm>
          <a:off x="2352675" y="71628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66675</xdr:rowOff>
    </xdr:from>
    <xdr:to>
      <xdr:col>14</xdr:col>
      <xdr:colOff>0</xdr:colOff>
      <xdr:row>49</xdr:row>
      <xdr:rowOff>142875</xdr:rowOff>
    </xdr:to>
    <xdr:sp>
      <xdr:nvSpPr>
        <xdr:cNvPr id="38" name="Line 170"/>
        <xdr:cNvSpPr>
          <a:spLocks/>
        </xdr:cNvSpPr>
      </xdr:nvSpPr>
      <xdr:spPr>
        <a:xfrm>
          <a:off x="2533650" y="70961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46</xdr:row>
      <xdr:rowOff>38100</xdr:rowOff>
    </xdr:from>
    <xdr:to>
      <xdr:col>15</xdr:col>
      <xdr:colOff>0</xdr:colOff>
      <xdr:row>47</xdr:row>
      <xdr:rowOff>104775</xdr:rowOff>
    </xdr:to>
    <xdr:sp>
      <xdr:nvSpPr>
        <xdr:cNvPr id="39" name="Line 171"/>
        <xdr:cNvSpPr>
          <a:spLocks/>
        </xdr:cNvSpPr>
      </xdr:nvSpPr>
      <xdr:spPr>
        <a:xfrm flipH="1" flipV="1">
          <a:off x="2105025" y="706755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133350</xdr:rowOff>
    </xdr:from>
    <xdr:to>
      <xdr:col>8</xdr:col>
      <xdr:colOff>0</xdr:colOff>
      <xdr:row>50</xdr:row>
      <xdr:rowOff>0</xdr:rowOff>
    </xdr:to>
    <xdr:sp>
      <xdr:nvSpPr>
        <xdr:cNvPr id="40" name="Line 172"/>
        <xdr:cNvSpPr>
          <a:spLocks/>
        </xdr:cNvSpPr>
      </xdr:nvSpPr>
      <xdr:spPr>
        <a:xfrm flipV="1">
          <a:off x="1447800" y="7448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95250</xdr:rowOff>
    </xdr:from>
    <xdr:to>
      <xdr:col>14</xdr:col>
      <xdr:colOff>0</xdr:colOff>
      <xdr:row>28</xdr:row>
      <xdr:rowOff>0</xdr:rowOff>
    </xdr:to>
    <xdr:sp>
      <xdr:nvSpPr>
        <xdr:cNvPr id="41" name="Line 173"/>
        <xdr:cNvSpPr>
          <a:spLocks/>
        </xdr:cNvSpPr>
      </xdr:nvSpPr>
      <xdr:spPr>
        <a:xfrm flipV="1">
          <a:off x="2533650" y="43529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15</xdr:col>
      <xdr:colOff>0</xdr:colOff>
      <xdr:row>50</xdr:row>
      <xdr:rowOff>0</xdr:rowOff>
    </xdr:to>
    <xdr:sp>
      <xdr:nvSpPr>
        <xdr:cNvPr id="42" name="Line 174"/>
        <xdr:cNvSpPr>
          <a:spLocks/>
        </xdr:cNvSpPr>
      </xdr:nvSpPr>
      <xdr:spPr>
        <a:xfrm flipV="1">
          <a:off x="904875" y="7048500"/>
          <a:ext cx="1809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19050</xdr:rowOff>
    </xdr:from>
    <xdr:to>
      <xdr:col>5</xdr:col>
      <xdr:colOff>85725</xdr:colOff>
      <xdr:row>28</xdr:row>
      <xdr:rowOff>0</xdr:rowOff>
    </xdr:to>
    <xdr:sp>
      <xdr:nvSpPr>
        <xdr:cNvPr id="43" name="Line 195"/>
        <xdr:cNvSpPr>
          <a:spLocks/>
        </xdr:cNvSpPr>
      </xdr:nvSpPr>
      <xdr:spPr>
        <a:xfrm flipV="1">
          <a:off x="990600" y="38481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24</xdr:row>
      <xdr:rowOff>85725</xdr:rowOff>
    </xdr:from>
    <xdr:to>
      <xdr:col>6</xdr:col>
      <xdr:colOff>85725</xdr:colOff>
      <xdr:row>28</xdr:row>
      <xdr:rowOff>0</xdr:rowOff>
    </xdr:to>
    <xdr:sp>
      <xdr:nvSpPr>
        <xdr:cNvPr id="44" name="Line 196"/>
        <xdr:cNvSpPr>
          <a:spLocks/>
        </xdr:cNvSpPr>
      </xdr:nvSpPr>
      <xdr:spPr>
        <a:xfrm flipV="1">
          <a:off x="1171575" y="3914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133350</xdr:rowOff>
    </xdr:from>
    <xdr:to>
      <xdr:col>7</xdr:col>
      <xdr:colOff>85725</xdr:colOff>
      <xdr:row>28</xdr:row>
      <xdr:rowOff>0</xdr:rowOff>
    </xdr:to>
    <xdr:sp>
      <xdr:nvSpPr>
        <xdr:cNvPr id="45" name="Line 197"/>
        <xdr:cNvSpPr>
          <a:spLocks/>
        </xdr:cNvSpPr>
      </xdr:nvSpPr>
      <xdr:spPr>
        <a:xfrm flipV="1">
          <a:off x="1352550" y="39624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25</xdr:row>
      <xdr:rowOff>57150</xdr:rowOff>
    </xdr:from>
    <xdr:to>
      <xdr:col>8</xdr:col>
      <xdr:colOff>95250</xdr:colOff>
      <xdr:row>28</xdr:row>
      <xdr:rowOff>0</xdr:rowOff>
    </xdr:to>
    <xdr:sp>
      <xdr:nvSpPr>
        <xdr:cNvPr id="46" name="Line 198"/>
        <xdr:cNvSpPr>
          <a:spLocks/>
        </xdr:cNvSpPr>
      </xdr:nvSpPr>
      <xdr:spPr>
        <a:xfrm flipV="1">
          <a:off x="1543050" y="40290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25</xdr:row>
      <xdr:rowOff>114300</xdr:rowOff>
    </xdr:from>
    <xdr:to>
      <xdr:col>9</xdr:col>
      <xdr:colOff>85725</xdr:colOff>
      <xdr:row>28</xdr:row>
      <xdr:rowOff>0</xdr:rowOff>
    </xdr:to>
    <xdr:sp>
      <xdr:nvSpPr>
        <xdr:cNvPr id="47" name="Line 199"/>
        <xdr:cNvSpPr>
          <a:spLocks/>
        </xdr:cNvSpPr>
      </xdr:nvSpPr>
      <xdr:spPr>
        <a:xfrm flipV="1">
          <a:off x="1714500" y="4086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26</xdr:row>
      <xdr:rowOff>28575</xdr:rowOff>
    </xdr:from>
    <xdr:to>
      <xdr:col>10</xdr:col>
      <xdr:colOff>85725</xdr:colOff>
      <xdr:row>28</xdr:row>
      <xdr:rowOff>0</xdr:rowOff>
    </xdr:to>
    <xdr:sp>
      <xdr:nvSpPr>
        <xdr:cNvPr id="48" name="Line 200"/>
        <xdr:cNvSpPr>
          <a:spLocks/>
        </xdr:cNvSpPr>
      </xdr:nvSpPr>
      <xdr:spPr>
        <a:xfrm flipV="1">
          <a:off x="1895475" y="41433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26</xdr:row>
      <xdr:rowOff>85725</xdr:rowOff>
    </xdr:from>
    <xdr:to>
      <xdr:col>11</xdr:col>
      <xdr:colOff>95250</xdr:colOff>
      <xdr:row>28</xdr:row>
      <xdr:rowOff>0</xdr:rowOff>
    </xdr:to>
    <xdr:sp>
      <xdr:nvSpPr>
        <xdr:cNvPr id="49" name="Line 201"/>
        <xdr:cNvSpPr>
          <a:spLocks/>
        </xdr:cNvSpPr>
      </xdr:nvSpPr>
      <xdr:spPr>
        <a:xfrm flipV="1">
          <a:off x="2085975" y="42005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27</xdr:row>
      <xdr:rowOff>9525</xdr:rowOff>
    </xdr:from>
    <xdr:to>
      <xdr:col>12</xdr:col>
      <xdr:colOff>95250</xdr:colOff>
      <xdr:row>28</xdr:row>
      <xdr:rowOff>0</xdr:rowOff>
    </xdr:to>
    <xdr:sp>
      <xdr:nvSpPr>
        <xdr:cNvPr id="50" name="Line 202"/>
        <xdr:cNvSpPr>
          <a:spLocks/>
        </xdr:cNvSpPr>
      </xdr:nvSpPr>
      <xdr:spPr>
        <a:xfrm flipV="1">
          <a:off x="2266950" y="42672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27</xdr:row>
      <xdr:rowOff>66675</xdr:rowOff>
    </xdr:from>
    <xdr:to>
      <xdr:col>13</xdr:col>
      <xdr:colOff>95250</xdr:colOff>
      <xdr:row>28</xdr:row>
      <xdr:rowOff>0</xdr:rowOff>
    </xdr:to>
    <xdr:sp>
      <xdr:nvSpPr>
        <xdr:cNvPr id="51" name="Line 203"/>
        <xdr:cNvSpPr>
          <a:spLocks/>
        </xdr:cNvSpPr>
      </xdr:nvSpPr>
      <xdr:spPr>
        <a:xfrm flipV="1">
          <a:off x="2447925" y="43243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49</xdr:row>
      <xdr:rowOff>66675</xdr:rowOff>
    </xdr:from>
    <xdr:to>
      <xdr:col>6</xdr:col>
      <xdr:colOff>85725</xdr:colOff>
      <xdr:row>50</xdr:row>
      <xdr:rowOff>9525</xdr:rowOff>
    </xdr:to>
    <xdr:sp>
      <xdr:nvSpPr>
        <xdr:cNvPr id="52" name="Line 205"/>
        <xdr:cNvSpPr>
          <a:spLocks/>
        </xdr:cNvSpPr>
      </xdr:nvSpPr>
      <xdr:spPr>
        <a:xfrm flipV="1">
          <a:off x="1171575" y="7524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49</xdr:row>
      <xdr:rowOff>19050</xdr:rowOff>
    </xdr:from>
    <xdr:to>
      <xdr:col>7</xdr:col>
      <xdr:colOff>85725</xdr:colOff>
      <xdr:row>50</xdr:row>
      <xdr:rowOff>0</xdr:rowOff>
    </xdr:to>
    <xdr:sp>
      <xdr:nvSpPr>
        <xdr:cNvPr id="53" name="Line 206"/>
        <xdr:cNvSpPr>
          <a:spLocks/>
        </xdr:cNvSpPr>
      </xdr:nvSpPr>
      <xdr:spPr>
        <a:xfrm flipV="1">
          <a:off x="1352550" y="7477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47</xdr:row>
      <xdr:rowOff>9525</xdr:rowOff>
    </xdr:from>
    <xdr:to>
      <xdr:col>12</xdr:col>
      <xdr:colOff>85725</xdr:colOff>
      <xdr:row>50</xdr:row>
      <xdr:rowOff>0</xdr:rowOff>
    </xdr:to>
    <xdr:sp>
      <xdr:nvSpPr>
        <xdr:cNvPr id="54" name="Line 207"/>
        <xdr:cNvSpPr>
          <a:spLocks/>
        </xdr:cNvSpPr>
      </xdr:nvSpPr>
      <xdr:spPr>
        <a:xfrm flipV="1">
          <a:off x="2257425" y="7181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46</xdr:row>
      <xdr:rowOff>95250</xdr:rowOff>
    </xdr:from>
    <xdr:to>
      <xdr:col>13</xdr:col>
      <xdr:colOff>85725</xdr:colOff>
      <xdr:row>50</xdr:row>
      <xdr:rowOff>0</xdr:rowOff>
    </xdr:to>
    <xdr:sp>
      <xdr:nvSpPr>
        <xdr:cNvPr id="55" name="Line 208"/>
        <xdr:cNvSpPr>
          <a:spLocks/>
        </xdr:cNvSpPr>
      </xdr:nvSpPr>
      <xdr:spPr>
        <a:xfrm flipV="1">
          <a:off x="2438400" y="7124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72</xdr:row>
      <xdr:rowOff>9525</xdr:rowOff>
    </xdr:from>
    <xdr:to>
      <xdr:col>15</xdr:col>
      <xdr:colOff>104775</xdr:colOff>
      <xdr:row>72</xdr:row>
      <xdr:rowOff>123825</xdr:rowOff>
    </xdr:to>
    <xdr:sp>
      <xdr:nvSpPr>
        <xdr:cNvPr id="56" name="AutoShape 209"/>
        <xdr:cNvSpPr>
          <a:spLocks/>
        </xdr:cNvSpPr>
      </xdr:nvSpPr>
      <xdr:spPr>
        <a:xfrm>
          <a:off x="2628900" y="10820400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70</xdr:row>
      <xdr:rowOff>66675</xdr:rowOff>
    </xdr:from>
    <xdr:to>
      <xdr:col>4</xdr:col>
      <xdr:colOff>47625</xdr:colOff>
      <xdr:row>72</xdr:row>
      <xdr:rowOff>114300</xdr:rowOff>
    </xdr:to>
    <xdr:sp>
      <xdr:nvSpPr>
        <xdr:cNvPr id="57" name="Arc 210"/>
        <xdr:cNvSpPr>
          <a:spLocks/>
        </xdr:cNvSpPr>
      </xdr:nvSpPr>
      <xdr:spPr>
        <a:xfrm rot="2508333" flipH="1" flipV="1">
          <a:off x="457200" y="10582275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66675</xdr:rowOff>
    </xdr:from>
    <xdr:to>
      <xdr:col>5</xdr:col>
      <xdr:colOff>0</xdr:colOff>
      <xdr:row>77</xdr:row>
      <xdr:rowOff>66675</xdr:rowOff>
    </xdr:to>
    <xdr:sp>
      <xdr:nvSpPr>
        <xdr:cNvPr id="58" name="Line 211"/>
        <xdr:cNvSpPr>
          <a:spLocks/>
        </xdr:cNvSpPr>
      </xdr:nvSpPr>
      <xdr:spPr>
        <a:xfrm>
          <a:off x="904875" y="110394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77</xdr:row>
      <xdr:rowOff>0</xdr:rowOff>
    </xdr:from>
    <xdr:to>
      <xdr:col>15</xdr:col>
      <xdr:colOff>76200</xdr:colOff>
      <xdr:row>77</xdr:row>
      <xdr:rowOff>0</xdr:rowOff>
    </xdr:to>
    <xdr:sp>
      <xdr:nvSpPr>
        <xdr:cNvPr id="59" name="Line 212"/>
        <xdr:cNvSpPr>
          <a:spLocks/>
        </xdr:cNvSpPr>
      </xdr:nvSpPr>
      <xdr:spPr>
        <a:xfrm>
          <a:off x="838200" y="115538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19050</xdr:rowOff>
    </xdr:from>
    <xdr:to>
      <xdr:col>15</xdr:col>
      <xdr:colOff>0</xdr:colOff>
      <xdr:row>77</xdr:row>
      <xdr:rowOff>76200</xdr:rowOff>
    </xdr:to>
    <xdr:sp>
      <xdr:nvSpPr>
        <xdr:cNvPr id="60" name="Line 213"/>
        <xdr:cNvSpPr>
          <a:spLocks/>
        </xdr:cNvSpPr>
      </xdr:nvSpPr>
      <xdr:spPr>
        <a:xfrm>
          <a:off x="2714625" y="11144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76</xdr:row>
      <xdr:rowOff>114300</xdr:rowOff>
    </xdr:from>
    <xdr:to>
      <xdr:col>5</xdr:col>
      <xdr:colOff>28575</xdr:colOff>
      <xdr:row>77</xdr:row>
      <xdr:rowOff>28575</xdr:rowOff>
    </xdr:to>
    <xdr:sp>
      <xdr:nvSpPr>
        <xdr:cNvPr id="61" name="Line 214"/>
        <xdr:cNvSpPr>
          <a:spLocks/>
        </xdr:cNvSpPr>
      </xdr:nvSpPr>
      <xdr:spPr>
        <a:xfrm flipH="1">
          <a:off x="866775" y="115252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76</xdr:row>
      <xdr:rowOff>123825</xdr:rowOff>
    </xdr:from>
    <xdr:to>
      <xdr:col>15</xdr:col>
      <xdr:colOff>28575</xdr:colOff>
      <xdr:row>77</xdr:row>
      <xdr:rowOff>28575</xdr:rowOff>
    </xdr:to>
    <xdr:sp>
      <xdr:nvSpPr>
        <xdr:cNvPr id="62" name="Line 215"/>
        <xdr:cNvSpPr>
          <a:spLocks/>
        </xdr:cNvSpPr>
      </xdr:nvSpPr>
      <xdr:spPr>
        <a:xfrm flipH="1">
          <a:off x="2686050" y="1153477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75</xdr:row>
      <xdr:rowOff>0</xdr:rowOff>
    </xdr:from>
    <xdr:to>
      <xdr:col>15</xdr:col>
      <xdr:colOff>76200</xdr:colOff>
      <xdr:row>75</xdr:row>
      <xdr:rowOff>0</xdr:rowOff>
    </xdr:to>
    <xdr:sp>
      <xdr:nvSpPr>
        <xdr:cNvPr id="63" name="Line 225"/>
        <xdr:cNvSpPr>
          <a:spLocks/>
        </xdr:cNvSpPr>
      </xdr:nvSpPr>
      <xdr:spPr>
        <a:xfrm>
          <a:off x="828675" y="112680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74</xdr:row>
      <xdr:rowOff>114300</xdr:rowOff>
    </xdr:from>
    <xdr:to>
      <xdr:col>5</xdr:col>
      <xdr:colOff>28575</xdr:colOff>
      <xdr:row>75</xdr:row>
      <xdr:rowOff>28575</xdr:rowOff>
    </xdr:to>
    <xdr:sp>
      <xdr:nvSpPr>
        <xdr:cNvPr id="64" name="Line 226"/>
        <xdr:cNvSpPr>
          <a:spLocks/>
        </xdr:cNvSpPr>
      </xdr:nvSpPr>
      <xdr:spPr>
        <a:xfrm flipH="1">
          <a:off x="866775" y="1123950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74</xdr:row>
      <xdr:rowOff>114300</xdr:rowOff>
    </xdr:from>
    <xdr:to>
      <xdr:col>15</xdr:col>
      <xdr:colOff>38100</xdr:colOff>
      <xdr:row>75</xdr:row>
      <xdr:rowOff>28575</xdr:rowOff>
    </xdr:to>
    <xdr:sp>
      <xdr:nvSpPr>
        <xdr:cNvPr id="65" name="Line 227"/>
        <xdr:cNvSpPr>
          <a:spLocks/>
        </xdr:cNvSpPr>
      </xdr:nvSpPr>
      <xdr:spPr>
        <a:xfrm flipH="1">
          <a:off x="2686050" y="1123950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74</xdr:row>
      <xdr:rowOff>123825</xdr:rowOff>
    </xdr:from>
    <xdr:to>
      <xdr:col>10</xdr:col>
      <xdr:colOff>38100</xdr:colOff>
      <xdr:row>75</xdr:row>
      <xdr:rowOff>28575</xdr:rowOff>
    </xdr:to>
    <xdr:sp>
      <xdr:nvSpPr>
        <xdr:cNvPr id="66" name="Line 229"/>
        <xdr:cNvSpPr>
          <a:spLocks/>
        </xdr:cNvSpPr>
      </xdr:nvSpPr>
      <xdr:spPr>
        <a:xfrm flipH="1">
          <a:off x="1781175" y="11249025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72</xdr:row>
      <xdr:rowOff>152400</xdr:rowOff>
    </xdr:from>
    <xdr:to>
      <xdr:col>10</xdr:col>
      <xdr:colOff>9525</xdr:colOff>
      <xdr:row>75</xdr:row>
      <xdr:rowOff>76200</xdr:rowOff>
    </xdr:to>
    <xdr:sp>
      <xdr:nvSpPr>
        <xdr:cNvPr id="67" name="Line 230"/>
        <xdr:cNvSpPr>
          <a:spLocks/>
        </xdr:cNvSpPr>
      </xdr:nvSpPr>
      <xdr:spPr>
        <a:xfrm>
          <a:off x="1819275" y="109632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133350</xdr:rowOff>
    </xdr:from>
    <xdr:to>
      <xdr:col>5</xdr:col>
      <xdr:colOff>0</xdr:colOff>
      <xdr:row>11</xdr:row>
      <xdr:rowOff>66675</xdr:rowOff>
    </xdr:to>
    <xdr:sp>
      <xdr:nvSpPr>
        <xdr:cNvPr id="68" name="Line 793"/>
        <xdr:cNvSpPr>
          <a:spLocks/>
        </xdr:cNvSpPr>
      </xdr:nvSpPr>
      <xdr:spPr>
        <a:xfrm flipV="1">
          <a:off x="904875" y="1657350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11</xdr:row>
      <xdr:rowOff>76200</xdr:rowOff>
    </xdr:to>
    <xdr:sp>
      <xdr:nvSpPr>
        <xdr:cNvPr id="69" name="Line 794"/>
        <xdr:cNvSpPr>
          <a:spLocks/>
        </xdr:cNvSpPr>
      </xdr:nvSpPr>
      <xdr:spPr>
        <a:xfrm flipV="1">
          <a:off x="2714625" y="16668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0</xdr:rowOff>
    </xdr:from>
    <xdr:to>
      <xdr:col>6</xdr:col>
      <xdr:colOff>66675</xdr:colOff>
      <xdr:row>12</xdr:row>
      <xdr:rowOff>0</xdr:rowOff>
    </xdr:to>
    <xdr:sp>
      <xdr:nvSpPr>
        <xdr:cNvPr id="70" name="Line 795"/>
        <xdr:cNvSpPr>
          <a:spLocks/>
        </xdr:cNvSpPr>
      </xdr:nvSpPr>
      <xdr:spPr>
        <a:xfrm>
          <a:off x="895350" y="2095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95250</xdr:rowOff>
    </xdr:from>
    <xdr:to>
      <xdr:col>4</xdr:col>
      <xdr:colOff>171450</xdr:colOff>
      <xdr:row>12</xdr:row>
      <xdr:rowOff>47625</xdr:rowOff>
    </xdr:to>
    <xdr:sp>
      <xdr:nvSpPr>
        <xdr:cNvPr id="71" name="Line 796"/>
        <xdr:cNvSpPr>
          <a:spLocks/>
        </xdr:cNvSpPr>
      </xdr:nvSpPr>
      <xdr:spPr>
        <a:xfrm>
          <a:off x="895350" y="20478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123825</xdr:rowOff>
    </xdr:from>
    <xdr:to>
      <xdr:col>5</xdr:col>
      <xdr:colOff>0</xdr:colOff>
      <xdr:row>34</xdr:row>
      <xdr:rowOff>57150</xdr:rowOff>
    </xdr:to>
    <xdr:sp>
      <xdr:nvSpPr>
        <xdr:cNvPr id="72" name="Line 797"/>
        <xdr:cNvSpPr>
          <a:spLocks/>
        </xdr:cNvSpPr>
      </xdr:nvSpPr>
      <xdr:spPr>
        <a:xfrm flipV="1">
          <a:off x="904875" y="4991100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123825</xdr:rowOff>
    </xdr:from>
    <xdr:to>
      <xdr:col>15</xdr:col>
      <xdr:colOff>0</xdr:colOff>
      <xdr:row>34</xdr:row>
      <xdr:rowOff>57150</xdr:rowOff>
    </xdr:to>
    <xdr:sp>
      <xdr:nvSpPr>
        <xdr:cNvPr id="73" name="Line 798"/>
        <xdr:cNvSpPr>
          <a:spLocks/>
        </xdr:cNvSpPr>
      </xdr:nvSpPr>
      <xdr:spPr>
        <a:xfrm flipV="1">
          <a:off x="2714625" y="4991100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6</xdr:col>
      <xdr:colOff>76200</xdr:colOff>
      <xdr:row>35</xdr:row>
      <xdr:rowOff>0</xdr:rowOff>
    </xdr:to>
    <xdr:sp>
      <xdr:nvSpPr>
        <xdr:cNvPr id="74" name="Line 799"/>
        <xdr:cNvSpPr>
          <a:spLocks/>
        </xdr:cNvSpPr>
      </xdr:nvSpPr>
      <xdr:spPr>
        <a:xfrm>
          <a:off x="904875" y="5438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35</xdr:row>
      <xdr:rowOff>47625</xdr:rowOff>
    </xdr:to>
    <xdr:sp>
      <xdr:nvSpPr>
        <xdr:cNvPr id="75" name="Line 800"/>
        <xdr:cNvSpPr>
          <a:spLocks/>
        </xdr:cNvSpPr>
      </xdr:nvSpPr>
      <xdr:spPr>
        <a:xfrm>
          <a:off x="904875" y="5391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50</xdr:row>
      <xdr:rowOff>0</xdr:rowOff>
    </xdr:to>
    <xdr:sp>
      <xdr:nvSpPr>
        <xdr:cNvPr id="76" name="Line 801"/>
        <xdr:cNvSpPr>
          <a:spLocks/>
        </xdr:cNvSpPr>
      </xdr:nvSpPr>
      <xdr:spPr>
        <a:xfrm flipV="1">
          <a:off x="2714625" y="70389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46</xdr:row>
      <xdr:rowOff>47625</xdr:rowOff>
    </xdr:from>
    <xdr:to>
      <xdr:col>14</xdr:col>
      <xdr:colOff>95250</xdr:colOff>
      <xdr:row>50</xdr:row>
      <xdr:rowOff>0</xdr:rowOff>
    </xdr:to>
    <xdr:sp>
      <xdr:nvSpPr>
        <xdr:cNvPr id="77" name="Line 802"/>
        <xdr:cNvSpPr>
          <a:spLocks/>
        </xdr:cNvSpPr>
      </xdr:nvSpPr>
      <xdr:spPr>
        <a:xfrm flipV="1">
          <a:off x="2628900" y="7077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47</xdr:row>
      <xdr:rowOff>76200</xdr:rowOff>
    </xdr:from>
    <xdr:to>
      <xdr:col>11</xdr:col>
      <xdr:colOff>85725</xdr:colOff>
      <xdr:row>50</xdr:row>
      <xdr:rowOff>0</xdr:rowOff>
    </xdr:to>
    <xdr:sp>
      <xdr:nvSpPr>
        <xdr:cNvPr id="78" name="Line 803"/>
        <xdr:cNvSpPr>
          <a:spLocks/>
        </xdr:cNvSpPr>
      </xdr:nvSpPr>
      <xdr:spPr>
        <a:xfrm flipV="1">
          <a:off x="2076450" y="7248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104775</xdr:rowOff>
    </xdr:from>
    <xdr:to>
      <xdr:col>11</xdr:col>
      <xdr:colOff>0</xdr:colOff>
      <xdr:row>50</xdr:row>
      <xdr:rowOff>0</xdr:rowOff>
    </xdr:to>
    <xdr:sp>
      <xdr:nvSpPr>
        <xdr:cNvPr id="79" name="Line 804"/>
        <xdr:cNvSpPr>
          <a:spLocks/>
        </xdr:cNvSpPr>
      </xdr:nvSpPr>
      <xdr:spPr>
        <a:xfrm flipV="1">
          <a:off x="1990725" y="72771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47</xdr:row>
      <xdr:rowOff>123825</xdr:rowOff>
    </xdr:from>
    <xdr:to>
      <xdr:col>10</xdr:col>
      <xdr:colOff>85725</xdr:colOff>
      <xdr:row>50</xdr:row>
      <xdr:rowOff>0</xdr:rowOff>
    </xdr:to>
    <xdr:sp>
      <xdr:nvSpPr>
        <xdr:cNvPr id="80" name="Line 805"/>
        <xdr:cNvSpPr>
          <a:spLocks/>
        </xdr:cNvSpPr>
      </xdr:nvSpPr>
      <xdr:spPr>
        <a:xfrm flipV="1">
          <a:off x="1895475" y="7296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19050</xdr:rowOff>
    </xdr:from>
    <xdr:to>
      <xdr:col>10</xdr:col>
      <xdr:colOff>0</xdr:colOff>
      <xdr:row>50</xdr:row>
      <xdr:rowOff>9525</xdr:rowOff>
    </xdr:to>
    <xdr:sp>
      <xdr:nvSpPr>
        <xdr:cNvPr id="81" name="Line 806"/>
        <xdr:cNvSpPr>
          <a:spLocks/>
        </xdr:cNvSpPr>
      </xdr:nvSpPr>
      <xdr:spPr>
        <a:xfrm flipV="1">
          <a:off x="1809750" y="7334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48</xdr:row>
      <xdr:rowOff>38100</xdr:rowOff>
    </xdr:from>
    <xdr:to>
      <xdr:col>9</xdr:col>
      <xdr:colOff>85725</xdr:colOff>
      <xdr:row>50</xdr:row>
      <xdr:rowOff>0</xdr:rowOff>
    </xdr:to>
    <xdr:sp>
      <xdr:nvSpPr>
        <xdr:cNvPr id="82" name="Line 807"/>
        <xdr:cNvSpPr>
          <a:spLocks/>
        </xdr:cNvSpPr>
      </xdr:nvSpPr>
      <xdr:spPr>
        <a:xfrm flipV="1">
          <a:off x="1714500" y="7353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76200</xdr:rowOff>
    </xdr:from>
    <xdr:to>
      <xdr:col>9</xdr:col>
      <xdr:colOff>0</xdr:colOff>
      <xdr:row>50</xdr:row>
      <xdr:rowOff>0</xdr:rowOff>
    </xdr:to>
    <xdr:sp>
      <xdr:nvSpPr>
        <xdr:cNvPr id="83" name="Line 808"/>
        <xdr:cNvSpPr>
          <a:spLocks/>
        </xdr:cNvSpPr>
      </xdr:nvSpPr>
      <xdr:spPr>
        <a:xfrm flipV="1">
          <a:off x="1628775" y="7391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48</xdr:row>
      <xdr:rowOff>104775</xdr:rowOff>
    </xdr:from>
    <xdr:to>
      <xdr:col>8</xdr:col>
      <xdr:colOff>85725</xdr:colOff>
      <xdr:row>50</xdr:row>
      <xdr:rowOff>0</xdr:rowOff>
    </xdr:to>
    <xdr:sp>
      <xdr:nvSpPr>
        <xdr:cNvPr id="84" name="Line 809"/>
        <xdr:cNvSpPr>
          <a:spLocks/>
        </xdr:cNvSpPr>
      </xdr:nvSpPr>
      <xdr:spPr>
        <a:xfrm flipV="1">
          <a:off x="1533525" y="7419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85725</xdr:rowOff>
    </xdr:from>
    <xdr:to>
      <xdr:col>5</xdr:col>
      <xdr:colOff>0</xdr:colOff>
      <xdr:row>57</xdr:row>
      <xdr:rowOff>19050</xdr:rowOff>
    </xdr:to>
    <xdr:sp>
      <xdr:nvSpPr>
        <xdr:cNvPr id="85" name="Line 810"/>
        <xdr:cNvSpPr>
          <a:spLocks/>
        </xdr:cNvSpPr>
      </xdr:nvSpPr>
      <xdr:spPr>
        <a:xfrm flipV="1">
          <a:off x="904875" y="82962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85725</xdr:rowOff>
    </xdr:from>
    <xdr:to>
      <xdr:col>15</xdr:col>
      <xdr:colOff>0</xdr:colOff>
      <xdr:row>57</xdr:row>
      <xdr:rowOff>19050</xdr:rowOff>
    </xdr:to>
    <xdr:sp>
      <xdr:nvSpPr>
        <xdr:cNvPr id="86" name="Line 811"/>
        <xdr:cNvSpPr>
          <a:spLocks/>
        </xdr:cNvSpPr>
      </xdr:nvSpPr>
      <xdr:spPr>
        <a:xfrm flipV="1">
          <a:off x="2714625" y="82962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0</xdr:rowOff>
    </xdr:from>
    <xdr:to>
      <xdr:col>6</xdr:col>
      <xdr:colOff>76200</xdr:colOff>
      <xdr:row>58</xdr:row>
      <xdr:rowOff>0</xdr:rowOff>
    </xdr:to>
    <xdr:sp>
      <xdr:nvSpPr>
        <xdr:cNvPr id="87" name="Line 812"/>
        <xdr:cNvSpPr>
          <a:spLocks/>
        </xdr:cNvSpPr>
      </xdr:nvSpPr>
      <xdr:spPr>
        <a:xfrm>
          <a:off x="904875" y="8782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95250</xdr:rowOff>
    </xdr:from>
    <xdr:to>
      <xdr:col>5</xdr:col>
      <xdr:colOff>0</xdr:colOff>
      <xdr:row>58</xdr:row>
      <xdr:rowOff>47625</xdr:rowOff>
    </xdr:to>
    <xdr:sp>
      <xdr:nvSpPr>
        <xdr:cNvPr id="88" name="Line 813"/>
        <xdr:cNvSpPr>
          <a:spLocks/>
        </xdr:cNvSpPr>
      </xdr:nvSpPr>
      <xdr:spPr>
        <a:xfrm>
          <a:off x="904875" y="8734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69</xdr:row>
      <xdr:rowOff>0</xdr:rowOff>
    </xdr:from>
    <xdr:to>
      <xdr:col>10</xdr:col>
      <xdr:colOff>9525</xdr:colOff>
      <xdr:row>72</xdr:row>
      <xdr:rowOff>9525</xdr:rowOff>
    </xdr:to>
    <xdr:sp>
      <xdr:nvSpPr>
        <xdr:cNvPr id="89" name="Line 814"/>
        <xdr:cNvSpPr>
          <a:spLocks/>
        </xdr:cNvSpPr>
      </xdr:nvSpPr>
      <xdr:spPr>
        <a:xfrm>
          <a:off x="1819275" y="10372725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104775</xdr:rowOff>
    </xdr:from>
    <xdr:to>
      <xdr:col>5</xdr:col>
      <xdr:colOff>0</xdr:colOff>
      <xdr:row>80</xdr:row>
      <xdr:rowOff>38100</xdr:rowOff>
    </xdr:to>
    <xdr:sp>
      <xdr:nvSpPr>
        <xdr:cNvPr id="90" name="Line 815"/>
        <xdr:cNvSpPr>
          <a:spLocks/>
        </xdr:cNvSpPr>
      </xdr:nvSpPr>
      <xdr:spPr>
        <a:xfrm flipV="1">
          <a:off x="904875" y="11658600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77</xdr:row>
      <xdr:rowOff>104775</xdr:rowOff>
    </xdr:from>
    <xdr:to>
      <xdr:col>15</xdr:col>
      <xdr:colOff>0</xdr:colOff>
      <xdr:row>80</xdr:row>
      <xdr:rowOff>38100</xdr:rowOff>
    </xdr:to>
    <xdr:sp>
      <xdr:nvSpPr>
        <xdr:cNvPr id="91" name="Line 816"/>
        <xdr:cNvSpPr>
          <a:spLocks/>
        </xdr:cNvSpPr>
      </xdr:nvSpPr>
      <xdr:spPr>
        <a:xfrm flipV="1">
          <a:off x="2714625" y="11658600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6</xdr:col>
      <xdr:colOff>76200</xdr:colOff>
      <xdr:row>81</xdr:row>
      <xdr:rowOff>0</xdr:rowOff>
    </xdr:to>
    <xdr:sp>
      <xdr:nvSpPr>
        <xdr:cNvPr id="92" name="Line 817"/>
        <xdr:cNvSpPr>
          <a:spLocks/>
        </xdr:cNvSpPr>
      </xdr:nvSpPr>
      <xdr:spPr>
        <a:xfrm>
          <a:off x="904875" y="12125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95250</xdr:rowOff>
    </xdr:from>
    <xdr:to>
      <xdr:col>5</xdr:col>
      <xdr:colOff>0</xdr:colOff>
      <xdr:row>81</xdr:row>
      <xdr:rowOff>47625</xdr:rowOff>
    </xdr:to>
    <xdr:sp>
      <xdr:nvSpPr>
        <xdr:cNvPr id="93" name="Line 818"/>
        <xdr:cNvSpPr>
          <a:spLocks/>
        </xdr:cNvSpPr>
      </xdr:nvSpPr>
      <xdr:spPr>
        <a:xfrm>
          <a:off x="904875" y="120777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93</xdr:row>
      <xdr:rowOff>66675</xdr:rowOff>
    </xdr:from>
    <xdr:to>
      <xdr:col>4</xdr:col>
      <xdr:colOff>47625</xdr:colOff>
      <xdr:row>95</xdr:row>
      <xdr:rowOff>114300</xdr:rowOff>
    </xdr:to>
    <xdr:sp>
      <xdr:nvSpPr>
        <xdr:cNvPr id="94" name="Arc 820"/>
        <xdr:cNvSpPr>
          <a:spLocks/>
        </xdr:cNvSpPr>
      </xdr:nvSpPr>
      <xdr:spPr>
        <a:xfrm rot="2508333" flipH="1" flipV="1">
          <a:off x="457200" y="13925550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96</xdr:row>
      <xdr:rowOff>66675</xdr:rowOff>
    </xdr:from>
    <xdr:to>
      <xdr:col>5</xdr:col>
      <xdr:colOff>0</xdr:colOff>
      <xdr:row>99</xdr:row>
      <xdr:rowOff>66675</xdr:rowOff>
    </xdr:to>
    <xdr:sp>
      <xdr:nvSpPr>
        <xdr:cNvPr id="95" name="Line 821"/>
        <xdr:cNvSpPr>
          <a:spLocks/>
        </xdr:cNvSpPr>
      </xdr:nvSpPr>
      <xdr:spPr>
        <a:xfrm>
          <a:off x="904875" y="143732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99</xdr:row>
      <xdr:rowOff>0</xdr:rowOff>
    </xdr:from>
    <xdr:to>
      <xdr:col>15</xdr:col>
      <xdr:colOff>76200</xdr:colOff>
      <xdr:row>99</xdr:row>
      <xdr:rowOff>0</xdr:rowOff>
    </xdr:to>
    <xdr:sp>
      <xdr:nvSpPr>
        <xdr:cNvPr id="96" name="Line 822"/>
        <xdr:cNvSpPr>
          <a:spLocks/>
        </xdr:cNvSpPr>
      </xdr:nvSpPr>
      <xdr:spPr>
        <a:xfrm>
          <a:off x="819150" y="147351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99</xdr:row>
      <xdr:rowOff>76200</xdr:rowOff>
    </xdr:to>
    <xdr:sp>
      <xdr:nvSpPr>
        <xdr:cNvPr id="97" name="Line 823"/>
        <xdr:cNvSpPr>
          <a:spLocks/>
        </xdr:cNvSpPr>
      </xdr:nvSpPr>
      <xdr:spPr>
        <a:xfrm>
          <a:off x="2714625" y="144494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98</xdr:row>
      <xdr:rowOff>104775</xdr:rowOff>
    </xdr:from>
    <xdr:to>
      <xdr:col>5</xdr:col>
      <xdr:colOff>38100</xdr:colOff>
      <xdr:row>99</xdr:row>
      <xdr:rowOff>28575</xdr:rowOff>
    </xdr:to>
    <xdr:sp>
      <xdr:nvSpPr>
        <xdr:cNvPr id="98" name="Line 824"/>
        <xdr:cNvSpPr>
          <a:spLocks/>
        </xdr:cNvSpPr>
      </xdr:nvSpPr>
      <xdr:spPr>
        <a:xfrm flipH="1">
          <a:off x="876300" y="146970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98</xdr:row>
      <xdr:rowOff>114300</xdr:rowOff>
    </xdr:from>
    <xdr:to>
      <xdr:col>15</xdr:col>
      <xdr:colOff>28575</xdr:colOff>
      <xdr:row>99</xdr:row>
      <xdr:rowOff>28575</xdr:rowOff>
    </xdr:to>
    <xdr:sp>
      <xdr:nvSpPr>
        <xdr:cNvPr id="99" name="Line 825"/>
        <xdr:cNvSpPr>
          <a:spLocks/>
        </xdr:cNvSpPr>
      </xdr:nvSpPr>
      <xdr:spPr>
        <a:xfrm flipH="1">
          <a:off x="2676525" y="1470660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95</xdr:row>
      <xdr:rowOff>9525</xdr:rowOff>
    </xdr:to>
    <xdr:sp>
      <xdr:nvSpPr>
        <xdr:cNvPr id="100" name="Line 831"/>
        <xdr:cNvSpPr>
          <a:spLocks/>
        </xdr:cNvSpPr>
      </xdr:nvSpPr>
      <xdr:spPr>
        <a:xfrm>
          <a:off x="2714625" y="13716000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99</xdr:row>
      <xdr:rowOff>104775</xdr:rowOff>
    </xdr:from>
    <xdr:to>
      <xdr:col>5</xdr:col>
      <xdr:colOff>0</xdr:colOff>
      <xdr:row>102</xdr:row>
      <xdr:rowOff>38100</xdr:rowOff>
    </xdr:to>
    <xdr:sp>
      <xdr:nvSpPr>
        <xdr:cNvPr id="101" name="Line 832"/>
        <xdr:cNvSpPr>
          <a:spLocks/>
        </xdr:cNvSpPr>
      </xdr:nvSpPr>
      <xdr:spPr>
        <a:xfrm flipV="1">
          <a:off x="904875" y="14839950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6</xdr:col>
      <xdr:colOff>76200</xdr:colOff>
      <xdr:row>103</xdr:row>
      <xdr:rowOff>0</xdr:rowOff>
    </xdr:to>
    <xdr:sp>
      <xdr:nvSpPr>
        <xdr:cNvPr id="102" name="Line 834"/>
        <xdr:cNvSpPr>
          <a:spLocks/>
        </xdr:cNvSpPr>
      </xdr:nvSpPr>
      <xdr:spPr>
        <a:xfrm>
          <a:off x="904875" y="15306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102</xdr:row>
      <xdr:rowOff>95250</xdr:rowOff>
    </xdr:from>
    <xdr:to>
      <xdr:col>5</xdr:col>
      <xdr:colOff>0</xdr:colOff>
      <xdr:row>103</xdr:row>
      <xdr:rowOff>47625</xdr:rowOff>
    </xdr:to>
    <xdr:sp>
      <xdr:nvSpPr>
        <xdr:cNvPr id="103" name="Line 835"/>
        <xdr:cNvSpPr>
          <a:spLocks/>
        </xdr:cNvSpPr>
      </xdr:nvSpPr>
      <xdr:spPr>
        <a:xfrm>
          <a:off x="904875" y="15259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129</xdr:row>
      <xdr:rowOff>66675</xdr:rowOff>
    </xdr:from>
    <xdr:to>
      <xdr:col>4</xdr:col>
      <xdr:colOff>47625</xdr:colOff>
      <xdr:row>131</xdr:row>
      <xdr:rowOff>114300</xdr:rowOff>
    </xdr:to>
    <xdr:sp>
      <xdr:nvSpPr>
        <xdr:cNvPr id="104" name="Arc 836"/>
        <xdr:cNvSpPr>
          <a:spLocks/>
        </xdr:cNvSpPr>
      </xdr:nvSpPr>
      <xdr:spPr>
        <a:xfrm rot="2508333" flipH="1" flipV="1">
          <a:off x="457200" y="19145250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132</xdr:row>
      <xdr:rowOff>57150</xdr:rowOff>
    </xdr:from>
    <xdr:to>
      <xdr:col>5</xdr:col>
      <xdr:colOff>0</xdr:colOff>
      <xdr:row>135</xdr:row>
      <xdr:rowOff>57150</xdr:rowOff>
    </xdr:to>
    <xdr:sp>
      <xdr:nvSpPr>
        <xdr:cNvPr id="105" name="Line 837"/>
        <xdr:cNvSpPr>
          <a:spLocks/>
        </xdr:cNvSpPr>
      </xdr:nvSpPr>
      <xdr:spPr>
        <a:xfrm>
          <a:off x="904875" y="195834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135</xdr:row>
      <xdr:rowOff>0</xdr:rowOff>
    </xdr:from>
    <xdr:to>
      <xdr:col>15</xdr:col>
      <xdr:colOff>76200</xdr:colOff>
      <xdr:row>135</xdr:row>
      <xdr:rowOff>0</xdr:rowOff>
    </xdr:to>
    <xdr:sp>
      <xdr:nvSpPr>
        <xdr:cNvPr id="106" name="Line 838"/>
        <xdr:cNvSpPr>
          <a:spLocks/>
        </xdr:cNvSpPr>
      </xdr:nvSpPr>
      <xdr:spPr>
        <a:xfrm>
          <a:off x="838200" y="199548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132</xdr:row>
      <xdr:rowOff>0</xdr:rowOff>
    </xdr:from>
    <xdr:to>
      <xdr:col>15</xdr:col>
      <xdr:colOff>0</xdr:colOff>
      <xdr:row>135</xdr:row>
      <xdr:rowOff>76200</xdr:rowOff>
    </xdr:to>
    <xdr:sp>
      <xdr:nvSpPr>
        <xdr:cNvPr id="107" name="Line 839"/>
        <xdr:cNvSpPr>
          <a:spLocks/>
        </xdr:cNvSpPr>
      </xdr:nvSpPr>
      <xdr:spPr>
        <a:xfrm>
          <a:off x="2714625" y="195262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134</xdr:row>
      <xdr:rowOff>104775</xdr:rowOff>
    </xdr:from>
    <xdr:to>
      <xdr:col>5</xdr:col>
      <xdr:colOff>38100</xdr:colOff>
      <xdr:row>135</xdr:row>
      <xdr:rowOff>28575</xdr:rowOff>
    </xdr:to>
    <xdr:sp>
      <xdr:nvSpPr>
        <xdr:cNvPr id="108" name="Line 840"/>
        <xdr:cNvSpPr>
          <a:spLocks/>
        </xdr:cNvSpPr>
      </xdr:nvSpPr>
      <xdr:spPr>
        <a:xfrm flipH="1">
          <a:off x="876300" y="199167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134</xdr:row>
      <xdr:rowOff>104775</xdr:rowOff>
    </xdr:from>
    <xdr:to>
      <xdr:col>15</xdr:col>
      <xdr:colOff>38100</xdr:colOff>
      <xdr:row>135</xdr:row>
      <xdr:rowOff>28575</xdr:rowOff>
    </xdr:to>
    <xdr:sp>
      <xdr:nvSpPr>
        <xdr:cNvPr id="109" name="Line 841"/>
        <xdr:cNvSpPr>
          <a:spLocks/>
        </xdr:cNvSpPr>
      </xdr:nvSpPr>
      <xdr:spPr>
        <a:xfrm flipH="1">
          <a:off x="2676525" y="19916775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127</xdr:row>
      <xdr:rowOff>28575</xdr:rowOff>
    </xdr:from>
    <xdr:to>
      <xdr:col>15</xdr:col>
      <xdr:colOff>0</xdr:colOff>
      <xdr:row>131</xdr:row>
      <xdr:rowOff>9525</xdr:rowOff>
    </xdr:to>
    <xdr:sp>
      <xdr:nvSpPr>
        <xdr:cNvPr id="110" name="Line 842"/>
        <xdr:cNvSpPr>
          <a:spLocks/>
        </xdr:cNvSpPr>
      </xdr:nvSpPr>
      <xdr:spPr>
        <a:xfrm>
          <a:off x="2714625" y="18821400"/>
          <a:ext cx="0" cy="561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104775</xdr:rowOff>
    </xdr:from>
    <xdr:to>
      <xdr:col>5</xdr:col>
      <xdr:colOff>0</xdr:colOff>
      <xdr:row>138</xdr:row>
      <xdr:rowOff>38100</xdr:rowOff>
    </xdr:to>
    <xdr:sp>
      <xdr:nvSpPr>
        <xdr:cNvPr id="111" name="Line 843"/>
        <xdr:cNvSpPr>
          <a:spLocks/>
        </xdr:cNvSpPr>
      </xdr:nvSpPr>
      <xdr:spPr>
        <a:xfrm flipV="1">
          <a:off x="904875" y="20059650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76200</xdr:colOff>
      <xdr:row>139</xdr:row>
      <xdr:rowOff>0</xdr:rowOff>
    </xdr:to>
    <xdr:sp>
      <xdr:nvSpPr>
        <xdr:cNvPr id="112" name="Line 844"/>
        <xdr:cNvSpPr>
          <a:spLocks/>
        </xdr:cNvSpPr>
      </xdr:nvSpPr>
      <xdr:spPr>
        <a:xfrm>
          <a:off x="904875" y="205263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95250</xdr:rowOff>
    </xdr:from>
    <xdr:to>
      <xdr:col>5</xdr:col>
      <xdr:colOff>0</xdr:colOff>
      <xdr:row>139</xdr:row>
      <xdr:rowOff>47625</xdr:rowOff>
    </xdr:to>
    <xdr:sp>
      <xdr:nvSpPr>
        <xdr:cNvPr id="113" name="Line 845"/>
        <xdr:cNvSpPr>
          <a:spLocks/>
        </xdr:cNvSpPr>
      </xdr:nvSpPr>
      <xdr:spPr>
        <a:xfrm>
          <a:off x="904875" y="20478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28575</xdr:rowOff>
    </xdr:from>
    <xdr:to>
      <xdr:col>10</xdr:col>
      <xdr:colOff>0</xdr:colOff>
      <xdr:row>131</xdr:row>
      <xdr:rowOff>9525</xdr:rowOff>
    </xdr:to>
    <xdr:sp>
      <xdr:nvSpPr>
        <xdr:cNvPr id="114" name="Line 847"/>
        <xdr:cNvSpPr>
          <a:spLocks/>
        </xdr:cNvSpPr>
      </xdr:nvSpPr>
      <xdr:spPr>
        <a:xfrm>
          <a:off x="1809750" y="18821400"/>
          <a:ext cx="0" cy="561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133</xdr:row>
      <xdr:rowOff>0</xdr:rowOff>
    </xdr:from>
    <xdr:to>
      <xdr:col>15</xdr:col>
      <xdr:colOff>76200</xdr:colOff>
      <xdr:row>133</xdr:row>
      <xdr:rowOff>0</xdr:rowOff>
    </xdr:to>
    <xdr:sp>
      <xdr:nvSpPr>
        <xdr:cNvPr id="115" name="Line 848"/>
        <xdr:cNvSpPr>
          <a:spLocks/>
        </xdr:cNvSpPr>
      </xdr:nvSpPr>
      <xdr:spPr>
        <a:xfrm>
          <a:off x="828675" y="196691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132</xdr:row>
      <xdr:rowOff>114300</xdr:rowOff>
    </xdr:from>
    <xdr:to>
      <xdr:col>5</xdr:col>
      <xdr:colOff>38100</xdr:colOff>
      <xdr:row>133</xdr:row>
      <xdr:rowOff>28575</xdr:rowOff>
    </xdr:to>
    <xdr:sp>
      <xdr:nvSpPr>
        <xdr:cNvPr id="116" name="Line 849"/>
        <xdr:cNvSpPr>
          <a:spLocks/>
        </xdr:cNvSpPr>
      </xdr:nvSpPr>
      <xdr:spPr>
        <a:xfrm flipH="1">
          <a:off x="866775" y="19640550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132</xdr:row>
      <xdr:rowOff>114300</xdr:rowOff>
    </xdr:from>
    <xdr:to>
      <xdr:col>15</xdr:col>
      <xdr:colOff>38100</xdr:colOff>
      <xdr:row>133</xdr:row>
      <xdr:rowOff>38100</xdr:rowOff>
    </xdr:to>
    <xdr:sp>
      <xdr:nvSpPr>
        <xdr:cNvPr id="117" name="Line 850"/>
        <xdr:cNvSpPr>
          <a:spLocks/>
        </xdr:cNvSpPr>
      </xdr:nvSpPr>
      <xdr:spPr>
        <a:xfrm flipH="1">
          <a:off x="2686050" y="1964055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132</xdr:row>
      <xdr:rowOff>123825</xdr:rowOff>
    </xdr:from>
    <xdr:to>
      <xdr:col>10</xdr:col>
      <xdr:colOff>38100</xdr:colOff>
      <xdr:row>133</xdr:row>
      <xdr:rowOff>28575</xdr:rowOff>
    </xdr:to>
    <xdr:sp>
      <xdr:nvSpPr>
        <xdr:cNvPr id="118" name="Line 851"/>
        <xdr:cNvSpPr>
          <a:spLocks/>
        </xdr:cNvSpPr>
      </xdr:nvSpPr>
      <xdr:spPr>
        <a:xfrm flipH="1">
          <a:off x="1781175" y="19650075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131</xdr:row>
      <xdr:rowOff>123825</xdr:rowOff>
    </xdr:from>
    <xdr:to>
      <xdr:col>10</xdr:col>
      <xdr:colOff>9525</xdr:colOff>
      <xdr:row>133</xdr:row>
      <xdr:rowOff>57150</xdr:rowOff>
    </xdr:to>
    <xdr:sp>
      <xdr:nvSpPr>
        <xdr:cNvPr id="119" name="Line 852"/>
        <xdr:cNvSpPr>
          <a:spLocks/>
        </xdr:cNvSpPr>
      </xdr:nvSpPr>
      <xdr:spPr>
        <a:xfrm flipV="1">
          <a:off x="1819275" y="19497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145</xdr:row>
      <xdr:rowOff>133350</xdr:rowOff>
    </xdr:from>
    <xdr:to>
      <xdr:col>10</xdr:col>
      <xdr:colOff>0</xdr:colOff>
      <xdr:row>147</xdr:row>
      <xdr:rowOff>95250</xdr:rowOff>
    </xdr:to>
    <xdr:sp>
      <xdr:nvSpPr>
        <xdr:cNvPr id="120" name="Line 854"/>
        <xdr:cNvSpPr>
          <a:spLocks/>
        </xdr:cNvSpPr>
      </xdr:nvSpPr>
      <xdr:spPr>
        <a:xfrm flipV="1">
          <a:off x="1457325" y="21536025"/>
          <a:ext cx="352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146</xdr:row>
      <xdr:rowOff>66675</xdr:rowOff>
    </xdr:from>
    <xdr:to>
      <xdr:col>4</xdr:col>
      <xdr:colOff>47625</xdr:colOff>
      <xdr:row>148</xdr:row>
      <xdr:rowOff>114300</xdr:rowOff>
    </xdr:to>
    <xdr:sp>
      <xdr:nvSpPr>
        <xdr:cNvPr id="121" name="Arc 855"/>
        <xdr:cNvSpPr>
          <a:spLocks/>
        </xdr:cNvSpPr>
      </xdr:nvSpPr>
      <xdr:spPr>
        <a:xfrm rot="2699122" flipH="1" flipV="1">
          <a:off x="457200" y="21612225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149</xdr:row>
      <xdr:rowOff>66675</xdr:rowOff>
    </xdr:from>
    <xdr:to>
      <xdr:col>5</xdr:col>
      <xdr:colOff>0</xdr:colOff>
      <xdr:row>151</xdr:row>
      <xdr:rowOff>66675</xdr:rowOff>
    </xdr:to>
    <xdr:sp>
      <xdr:nvSpPr>
        <xdr:cNvPr id="122" name="Line 856"/>
        <xdr:cNvSpPr>
          <a:spLocks/>
        </xdr:cNvSpPr>
      </xdr:nvSpPr>
      <xdr:spPr>
        <a:xfrm>
          <a:off x="904875" y="22059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151</xdr:row>
      <xdr:rowOff>0</xdr:rowOff>
    </xdr:from>
    <xdr:to>
      <xdr:col>15</xdr:col>
      <xdr:colOff>66675</xdr:colOff>
      <xdr:row>151</xdr:row>
      <xdr:rowOff>0</xdr:rowOff>
    </xdr:to>
    <xdr:sp>
      <xdr:nvSpPr>
        <xdr:cNvPr id="123" name="Line 857"/>
        <xdr:cNvSpPr>
          <a:spLocks/>
        </xdr:cNvSpPr>
      </xdr:nvSpPr>
      <xdr:spPr>
        <a:xfrm>
          <a:off x="847725" y="222789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148</xdr:row>
      <xdr:rowOff>104775</xdr:rowOff>
    </xdr:from>
    <xdr:to>
      <xdr:col>15</xdr:col>
      <xdr:colOff>0</xdr:colOff>
      <xdr:row>151</xdr:row>
      <xdr:rowOff>66675</xdr:rowOff>
    </xdr:to>
    <xdr:sp>
      <xdr:nvSpPr>
        <xdr:cNvPr id="124" name="Line 858"/>
        <xdr:cNvSpPr>
          <a:spLocks/>
        </xdr:cNvSpPr>
      </xdr:nvSpPr>
      <xdr:spPr>
        <a:xfrm>
          <a:off x="2714625" y="219456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150</xdr:row>
      <xdr:rowOff>114300</xdr:rowOff>
    </xdr:from>
    <xdr:to>
      <xdr:col>5</xdr:col>
      <xdr:colOff>28575</xdr:colOff>
      <xdr:row>151</xdr:row>
      <xdr:rowOff>28575</xdr:rowOff>
    </xdr:to>
    <xdr:sp>
      <xdr:nvSpPr>
        <xdr:cNvPr id="125" name="Line 859"/>
        <xdr:cNvSpPr>
          <a:spLocks/>
        </xdr:cNvSpPr>
      </xdr:nvSpPr>
      <xdr:spPr>
        <a:xfrm flipH="1">
          <a:off x="885825" y="222504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150</xdr:row>
      <xdr:rowOff>123825</xdr:rowOff>
    </xdr:from>
    <xdr:to>
      <xdr:col>15</xdr:col>
      <xdr:colOff>28575</xdr:colOff>
      <xdr:row>151</xdr:row>
      <xdr:rowOff>28575</xdr:rowOff>
    </xdr:to>
    <xdr:sp>
      <xdr:nvSpPr>
        <xdr:cNvPr id="126" name="Line 860"/>
        <xdr:cNvSpPr>
          <a:spLocks/>
        </xdr:cNvSpPr>
      </xdr:nvSpPr>
      <xdr:spPr>
        <a:xfrm flipH="1">
          <a:off x="2686050" y="222599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151</xdr:row>
      <xdr:rowOff>133350</xdr:rowOff>
    </xdr:from>
    <xdr:to>
      <xdr:col>5</xdr:col>
      <xdr:colOff>0</xdr:colOff>
      <xdr:row>154</xdr:row>
      <xdr:rowOff>66675</xdr:rowOff>
    </xdr:to>
    <xdr:sp>
      <xdr:nvSpPr>
        <xdr:cNvPr id="127" name="Line 861"/>
        <xdr:cNvSpPr>
          <a:spLocks/>
        </xdr:cNvSpPr>
      </xdr:nvSpPr>
      <xdr:spPr>
        <a:xfrm flipV="1">
          <a:off x="904875" y="2241232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155</xdr:row>
      <xdr:rowOff>0</xdr:rowOff>
    </xdr:from>
    <xdr:to>
      <xdr:col>6</xdr:col>
      <xdr:colOff>66675</xdr:colOff>
      <xdr:row>155</xdr:row>
      <xdr:rowOff>0</xdr:rowOff>
    </xdr:to>
    <xdr:sp>
      <xdr:nvSpPr>
        <xdr:cNvPr id="128" name="Line 863"/>
        <xdr:cNvSpPr>
          <a:spLocks/>
        </xdr:cNvSpPr>
      </xdr:nvSpPr>
      <xdr:spPr>
        <a:xfrm>
          <a:off x="895350" y="22850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154</xdr:row>
      <xdr:rowOff>95250</xdr:rowOff>
    </xdr:from>
    <xdr:to>
      <xdr:col>4</xdr:col>
      <xdr:colOff>171450</xdr:colOff>
      <xdr:row>155</xdr:row>
      <xdr:rowOff>47625</xdr:rowOff>
    </xdr:to>
    <xdr:sp>
      <xdr:nvSpPr>
        <xdr:cNvPr id="129" name="Line 864"/>
        <xdr:cNvSpPr>
          <a:spLocks/>
        </xdr:cNvSpPr>
      </xdr:nvSpPr>
      <xdr:spPr>
        <a:xfrm>
          <a:off x="895350" y="22802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165</xdr:row>
      <xdr:rowOff>66675</xdr:rowOff>
    </xdr:from>
    <xdr:to>
      <xdr:col>4</xdr:col>
      <xdr:colOff>47625</xdr:colOff>
      <xdr:row>167</xdr:row>
      <xdr:rowOff>114300</xdr:rowOff>
    </xdr:to>
    <xdr:sp>
      <xdr:nvSpPr>
        <xdr:cNvPr id="130" name="Arc 866"/>
        <xdr:cNvSpPr>
          <a:spLocks/>
        </xdr:cNvSpPr>
      </xdr:nvSpPr>
      <xdr:spPr>
        <a:xfrm rot="2508333" flipH="1" flipV="1">
          <a:off x="457200" y="24364950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66675</xdr:rowOff>
    </xdr:from>
    <xdr:to>
      <xdr:col>5</xdr:col>
      <xdr:colOff>0</xdr:colOff>
      <xdr:row>170</xdr:row>
      <xdr:rowOff>66675</xdr:rowOff>
    </xdr:to>
    <xdr:sp>
      <xdr:nvSpPr>
        <xdr:cNvPr id="131" name="Line 867"/>
        <xdr:cNvSpPr>
          <a:spLocks/>
        </xdr:cNvSpPr>
      </xdr:nvSpPr>
      <xdr:spPr>
        <a:xfrm>
          <a:off x="904875" y="24812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170</xdr:row>
      <xdr:rowOff>0</xdr:rowOff>
    </xdr:from>
    <xdr:to>
      <xdr:col>15</xdr:col>
      <xdr:colOff>47625</xdr:colOff>
      <xdr:row>170</xdr:row>
      <xdr:rowOff>0</xdr:rowOff>
    </xdr:to>
    <xdr:sp>
      <xdr:nvSpPr>
        <xdr:cNvPr id="132" name="Line 868"/>
        <xdr:cNvSpPr>
          <a:spLocks/>
        </xdr:cNvSpPr>
      </xdr:nvSpPr>
      <xdr:spPr>
        <a:xfrm>
          <a:off x="819150" y="250317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168</xdr:row>
      <xdr:rowOff>123825</xdr:rowOff>
    </xdr:from>
    <xdr:to>
      <xdr:col>15</xdr:col>
      <xdr:colOff>0</xdr:colOff>
      <xdr:row>170</xdr:row>
      <xdr:rowOff>76200</xdr:rowOff>
    </xdr:to>
    <xdr:sp>
      <xdr:nvSpPr>
        <xdr:cNvPr id="133" name="Line 869"/>
        <xdr:cNvSpPr>
          <a:spLocks/>
        </xdr:cNvSpPr>
      </xdr:nvSpPr>
      <xdr:spPr>
        <a:xfrm>
          <a:off x="2714625" y="24869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169</xdr:row>
      <xdr:rowOff>114300</xdr:rowOff>
    </xdr:from>
    <xdr:to>
      <xdr:col>5</xdr:col>
      <xdr:colOff>28575</xdr:colOff>
      <xdr:row>170</xdr:row>
      <xdr:rowOff>38100</xdr:rowOff>
    </xdr:to>
    <xdr:sp>
      <xdr:nvSpPr>
        <xdr:cNvPr id="134" name="Line 870"/>
        <xdr:cNvSpPr>
          <a:spLocks/>
        </xdr:cNvSpPr>
      </xdr:nvSpPr>
      <xdr:spPr>
        <a:xfrm flipH="1">
          <a:off x="876300" y="2500312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169</xdr:row>
      <xdr:rowOff>114300</xdr:rowOff>
    </xdr:from>
    <xdr:to>
      <xdr:col>15</xdr:col>
      <xdr:colOff>28575</xdr:colOff>
      <xdr:row>170</xdr:row>
      <xdr:rowOff>28575</xdr:rowOff>
    </xdr:to>
    <xdr:sp>
      <xdr:nvSpPr>
        <xdr:cNvPr id="135" name="Line 871"/>
        <xdr:cNvSpPr>
          <a:spLocks/>
        </xdr:cNvSpPr>
      </xdr:nvSpPr>
      <xdr:spPr>
        <a:xfrm flipH="1">
          <a:off x="2676525" y="250031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162</xdr:row>
      <xdr:rowOff>133350</xdr:rowOff>
    </xdr:from>
    <xdr:to>
      <xdr:col>5</xdr:col>
      <xdr:colOff>0</xdr:colOff>
      <xdr:row>166</xdr:row>
      <xdr:rowOff>142875</xdr:rowOff>
    </xdr:to>
    <xdr:sp>
      <xdr:nvSpPr>
        <xdr:cNvPr id="136" name="Line 872"/>
        <xdr:cNvSpPr>
          <a:spLocks/>
        </xdr:cNvSpPr>
      </xdr:nvSpPr>
      <xdr:spPr>
        <a:xfrm flipV="1">
          <a:off x="904875" y="240030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162</xdr:row>
      <xdr:rowOff>133350</xdr:rowOff>
    </xdr:from>
    <xdr:to>
      <xdr:col>15</xdr:col>
      <xdr:colOff>0</xdr:colOff>
      <xdr:row>167</xdr:row>
      <xdr:rowOff>0</xdr:rowOff>
    </xdr:to>
    <xdr:sp>
      <xdr:nvSpPr>
        <xdr:cNvPr id="137" name="Line 873"/>
        <xdr:cNvSpPr>
          <a:spLocks/>
        </xdr:cNvSpPr>
      </xdr:nvSpPr>
      <xdr:spPr>
        <a:xfrm>
          <a:off x="904875" y="24003000"/>
          <a:ext cx="18097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163</xdr:row>
      <xdr:rowOff>114300</xdr:rowOff>
    </xdr:from>
    <xdr:to>
      <xdr:col>7</xdr:col>
      <xdr:colOff>0</xdr:colOff>
      <xdr:row>166</xdr:row>
      <xdr:rowOff>142875</xdr:rowOff>
    </xdr:to>
    <xdr:sp>
      <xdr:nvSpPr>
        <xdr:cNvPr id="138" name="Line 874"/>
        <xdr:cNvSpPr>
          <a:spLocks/>
        </xdr:cNvSpPr>
      </xdr:nvSpPr>
      <xdr:spPr>
        <a:xfrm>
          <a:off x="1266825" y="241268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163</xdr:row>
      <xdr:rowOff>38100</xdr:rowOff>
    </xdr:from>
    <xdr:to>
      <xdr:col>6</xdr:col>
      <xdr:colOff>0</xdr:colOff>
      <xdr:row>166</xdr:row>
      <xdr:rowOff>142875</xdr:rowOff>
    </xdr:to>
    <xdr:sp>
      <xdr:nvSpPr>
        <xdr:cNvPr id="139" name="Line 875"/>
        <xdr:cNvSpPr>
          <a:spLocks/>
        </xdr:cNvSpPr>
      </xdr:nvSpPr>
      <xdr:spPr>
        <a:xfrm>
          <a:off x="1085850" y="240506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164</xdr:row>
      <xdr:rowOff>85725</xdr:rowOff>
    </xdr:from>
    <xdr:to>
      <xdr:col>9</xdr:col>
      <xdr:colOff>0</xdr:colOff>
      <xdr:row>167</xdr:row>
      <xdr:rowOff>0</xdr:rowOff>
    </xdr:to>
    <xdr:sp>
      <xdr:nvSpPr>
        <xdr:cNvPr id="140" name="Line 876"/>
        <xdr:cNvSpPr>
          <a:spLocks/>
        </xdr:cNvSpPr>
      </xdr:nvSpPr>
      <xdr:spPr>
        <a:xfrm>
          <a:off x="1628775" y="242411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165</xdr:row>
      <xdr:rowOff>9525</xdr:rowOff>
    </xdr:from>
    <xdr:to>
      <xdr:col>10</xdr:col>
      <xdr:colOff>0</xdr:colOff>
      <xdr:row>166</xdr:row>
      <xdr:rowOff>142875</xdr:rowOff>
    </xdr:to>
    <xdr:sp>
      <xdr:nvSpPr>
        <xdr:cNvPr id="141" name="Line 877"/>
        <xdr:cNvSpPr>
          <a:spLocks/>
        </xdr:cNvSpPr>
      </xdr:nvSpPr>
      <xdr:spPr>
        <a:xfrm>
          <a:off x="1809750" y="243078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165</xdr:row>
      <xdr:rowOff>66675</xdr:rowOff>
    </xdr:from>
    <xdr:to>
      <xdr:col>11</xdr:col>
      <xdr:colOff>0</xdr:colOff>
      <xdr:row>167</xdr:row>
      <xdr:rowOff>9525</xdr:rowOff>
    </xdr:to>
    <xdr:sp>
      <xdr:nvSpPr>
        <xdr:cNvPr id="142" name="Line 878"/>
        <xdr:cNvSpPr>
          <a:spLocks/>
        </xdr:cNvSpPr>
      </xdr:nvSpPr>
      <xdr:spPr>
        <a:xfrm>
          <a:off x="1990725" y="243649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165</xdr:row>
      <xdr:rowOff>114300</xdr:rowOff>
    </xdr:from>
    <xdr:to>
      <xdr:col>12</xdr:col>
      <xdr:colOff>9525</xdr:colOff>
      <xdr:row>167</xdr:row>
      <xdr:rowOff>0</xdr:rowOff>
    </xdr:to>
    <xdr:sp>
      <xdr:nvSpPr>
        <xdr:cNvPr id="143" name="Line 879"/>
        <xdr:cNvSpPr>
          <a:spLocks/>
        </xdr:cNvSpPr>
      </xdr:nvSpPr>
      <xdr:spPr>
        <a:xfrm>
          <a:off x="2181225" y="24412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166</xdr:row>
      <xdr:rowOff>28575</xdr:rowOff>
    </xdr:from>
    <xdr:to>
      <xdr:col>13</xdr:col>
      <xdr:colOff>0</xdr:colOff>
      <xdr:row>167</xdr:row>
      <xdr:rowOff>9525</xdr:rowOff>
    </xdr:to>
    <xdr:sp>
      <xdr:nvSpPr>
        <xdr:cNvPr id="144" name="Line 880"/>
        <xdr:cNvSpPr>
          <a:spLocks/>
        </xdr:cNvSpPr>
      </xdr:nvSpPr>
      <xdr:spPr>
        <a:xfrm>
          <a:off x="2352675" y="244697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162</xdr:row>
      <xdr:rowOff>19050</xdr:rowOff>
    </xdr:from>
    <xdr:to>
      <xdr:col>9</xdr:col>
      <xdr:colOff>123825</xdr:colOff>
      <xdr:row>163</xdr:row>
      <xdr:rowOff>85725</xdr:rowOff>
    </xdr:to>
    <xdr:sp>
      <xdr:nvSpPr>
        <xdr:cNvPr id="145" name="Line 881"/>
        <xdr:cNvSpPr>
          <a:spLocks/>
        </xdr:cNvSpPr>
      </xdr:nvSpPr>
      <xdr:spPr>
        <a:xfrm flipV="1">
          <a:off x="904875" y="23888700"/>
          <a:ext cx="8477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164</xdr:row>
      <xdr:rowOff>28575</xdr:rowOff>
    </xdr:from>
    <xdr:to>
      <xdr:col>8</xdr:col>
      <xdr:colOff>0</xdr:colOff>
      <xdr:row>167</xdr:row>
      <xdr:rowOff>0</xdr:rowOff>
    </xdr:to>
    <xdr:sp>
      <xdr:nvSpPr>
        <xdr:cNvPr id="146" name="Line 882"/>
        <xdr:cNvSpPr>
          <a:spLocks/>
        </xdr:cNvSpPr>
      </xdr:nvSpPr>
      <xdr:spPr>
        <a:xfrm flipV="1">
          <a:off x="1447800" y="241839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166</xdr:row>
      <xdr:rowOff>95250</xdr:rowOff>
    </xdr:from>
    <xdr:to>
      <xdr:col>14</xdr:col>
      <xdr:colOff>0</xdr:colOff>
      <xdr:row>167</xdr:row>
      <xdr:rowOff>0</xdr:rowOff>
    </xdr:to>
    <xdr:sp>
      <xdr:nvSpPr>
        <xdr:cNvPr id="147" name="Line 883"/>
        <xdr:cNvSpPr>
          <a:spLocks/>
        </xdr:cNvSpPr>
      </xdr:nvSpPr>
      <xdr:spPr>
        <a:xfrm flipV="1">
          <a:off x="2533650" y="245364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163</xdr:row>
      <xdr:rowOff>19050</xdr:rowOff>
    </xdr:from>
    <xdr:to>
      <xdr:col>5</xdr:col>
      <xdr:colOff>85725</xdr:colOff>
      <xdr:row>167</xdr:row>
      <xdr:rowOff>0</xdr:rowOff>
    </xdr:to>
    <xdr:sp>
      <xdr:nvSpPr>
        <xdr:cNvPr id="148" name="Line 884"/>
        <xdr:cNvSpPr>
          <a:spLocks/>
        </xdr:cNvSpPr>
      </xdr:nvSpPr>
      <xdr:spPr>
        <a:xfrm flipV="1">
          <a:off x="990600" y="240315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163</xdr:row>
      <xdr:rowOff>85725</xdr:rowOff>
    </xdr:from>
    <xdr:to>
      <xdr:col>6</xdr:col>
      <xdr:colOff>85725</xdr:colOff>
      <xdr:row>167</xdr:row>
      <xdr:rowOff>0</xdr:rowOff>
    </xdr:to>
    <xdr:sp>
      <xdr:nvSpPr>
        <xdr:cNvPr id="149" name="Line 885"/>
        <xdr:cNvSpPr>
          <a:spLocks/>
        </xdr:cNvSpPr>
      </xdr:nvSpPr>
      <xdr:spPr>
        <a:xfrm flipV="1">
          <a:off x="1171575" y="24098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163</xdr:row>
      <xdr:rowOff>133350</xdr:rowOff>
    </xdr:from>
    <xdr:to>
      <xdr:col>7</xdr:col>
      <xdr:colOff>85725</xdr:colOff>
      <xdr:row>167</xdr:row>
      <xdr:rowOff>0</xdr:rowOff>
    </xdr:to>
    <xdr:sp>
      <xdr:nvSpPr>
        <xdr:cNvPr id="150" name="Line 886"/>
        <xdr:cNvSpPr>
          <a:spLocks/>
        </xdr:cNvSpPr>
      </xdr:nvSpPr>
      <xdr:spPr>
        <a:xfrm flipV="1">
          <a:off x="1352550" y="24145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164</xdr:row>
      <xdr:rowOff>57150</xdr:rowOff>
    </xdr:from>
    <xdr:to>
      <xdr:col>8</xdr:col>
      <xdr:colOff>95250</xdr:colOff>
      <xdr:row>167</xdr:row>
      <xdr:rowOff>0</xdr:rowOff>
    </xdr:to>
    <xdr:sp>
      <xdr:nvSpPr>
        <xdr:cNvPr id="151" name="Line 887"/>
        <xdr:cNvSpPr>
          <a:spLocks/>
        </xdr:cNvSpPr>
      </xdr:nvSpPr>
      <xdr:spPr>
        <a:xfrm flipV="1">
          <a:off x="1543050" y="242125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164</xdr:row>
      <xdr:rowOff>114300</xdr:rowOff>
    </xdr:from>
    <xdr:to>
      <xdr:col>9</xdr:col>
      <xdr:colOff>85725</xdr:colOff>
      <xdr:row>167</xdr:row>
      <xdr:rowOff>0</xdr:rowOff>
    </xdr:to>
    <xdr:sp>
      <xdr:nvSpPr>
        <xdr:cNvPr id="152" name="Line 888"/>
        <xdr:cNvSpPr>
          <a:spLocks/>
        </xdr:cNvSpPr>
      </xdr:nvSpPr>
      <xdr:spPr>
        <a:xfrm flipV="1">
          <a:off x="1714500" y="242697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165</xdr:row>
      <xdr:rowOff>28575</xdr:rowOff>
    </xdr:from>
    <xdr:to>
      <xdr:col>10</xdr:col>
      <xdr:colOff>85725</xdr:colOff>
      <xdr:row>167</xdr:row>
      <xdr:rowOff>0</xdr:rowOff>
    </xdr:to>
    <xdr:sp>
      <xdr:nvSpPr>
        <xdr:cNvPr id="153" name="Line 889"/>
        <xdr:cNvSpPr>
          <a:spLocks/>
        </xdr:cNvSpPr>
      </xdr:nvSpPr>
      <xdr:spPr>
        <a:xfrm flipV="1">
          <a:off x="1895475" y="243268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165</xdr:row>
      <xdr:rowOff>85725</xdr:rowOff>
    </xdr:from>
    <xdr:to>
      <xdr:col>11</xdr:col>
      <xdr:colOff>95250</xdr:colOff>
      <xdr:row>167</xdr:row>
      <xdr:rowOff>0</xdr:rowOff>
    </xdr:to>
    <xdr:sp>
      <xdr:nvSpPr>
        <xdr:cNvPr id="154" name="Line 890"/>
        <xdr:cNvSpPr>
          <a:spLocks/>
        </xdr:cNvSpPr>
      </xdr:nvSpPr>
      <xdr:spPr>
        <a:xfrm flipV="1">
          <a:off x="2085975" y="243840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166</xdr:row>
      <xdr:rowOff>9525</xdr:rowOff>
    </xdr:from>
    <xdr:to>
      <xdr:col>12</xdr:col>
      <xdr:colOff>95250</xdr:colOff>
      <xdr:row>167</xdr:row>
      <xdr:rowOff>0</xdr:rowOff>
    </xdr:to>
    <xdr:sp>
      <xdr:nvSpPr>
        <xdr:cNvPr id="155" name="Line 891"/>
        <xdr:cNvSpPr>
          <a:spLocks/>
        </xdr:cNvSpPr>
      </xdr:nvSpPr>
      <xdr:spPr>
        <a:xfrm flipV="1">
          <a:off x="2266950" y="24450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166</xdr:row>
      <xdr:rowOff>66675</xdr:rowOff>
    </xdr:from>
    <xdr:to>
      <xdr:col>13</xdr:col>
      <xdr:colOff>95250</xdr:colOff>
      <xdr:row>167</xdr:row>
      <xdr:rowOff>0</xdr:rowOff>
    </xdr:to>
    <xdr:sp>
      <xdr:nvSpPr>
        <xdr:cNvPr id="156" name="Line 892"/>
        <xdr:cNvSpPr>
          <a:spLocks/>
        </xdr:cNvSpPr>
      </xdr:nvSpPr>
      <xdr:spPr>
        <a:xfrm flipV="1">
          <a:off x="2447925" y="245078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170</xdr:row>
      <xdr:rowOff>123825</xdr:rowOff>
    </xdr:from>
    <xdr:to>
      <xdr:col>5</xdr:col>
      <xdr:colOff>0</xdr:colOff>
      <xdr:row>173</xdr:row>
      <xdr:rowOff>57150</xdr:rowOff>
    </xdr:to>
    <xdr:sp>
      <xdr:nvSpPr>
        <xdr:cNvPr id="157" name="Line 893"/>
        <xdr:cNvSpPr>
          <a:spLocks/>
        </xdr:cNvSpPr>
      </xdr:nvSpPr>
      <xdr:spPr>
        <a:xfrm flipV="1">
          <a:off x="904875" y="2515552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6</xdr:col>
      <xdr:colOff>76200</xdr:colOff>
      <xdr:row>174</xdr:row>
      <xdr:rowOff>0</xdr:rowOff>
    </xdr:to>
    <xdr:sp>
      <xdr:nvSpPr>
        <xdr:cNvPr id="158" name="Line 895"/>
        <xdr:cNvSpPr>
          <a:spLocks/>
        </xdr:cNvSpPr>
      </xdr:nvSpPr>
      <xdr:spPr>
        <a:xfrm>
          <a:off x="904875" y="2560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173</xdr:row>
      <xdr:rowOff>95250</xdr:rowOff>
    </xdr:from>
    <xdr:to>
      <xdr:col>5</xdr:col>
      <xdr:colOff>0</xdr:colOff>
      <xdr:row>174</xdr:row>
      <xdr:rowOff>47625</xdr:rowOff>
    </xdr:to>
    <xdr:sp>
      <xdr:nvSpPr>
        <xdr:cNvPr id="159" name="Line 896"/>
        <xdr:cNvSpPr>
          <a:spLocks/>
        </xdr:cNvSpPr>
      </xdr:nvSpPr>
      <xdr:spPr>
        <a:xfrm>
          <a:off x="904875" y="25555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203</xdr:row>
      <xdr:rowOff>9525</xdr:rowOff>
    </xdr:from>
    <xdr:to>
      <xdr:col>15</xdr:col>
      <xdr:colOff>104775</xdr:colOff>
      <xdr:row>203</xdr:row>
      <xdr:rowOff>123825</xdr:rowOff>
    </xdr:to>
    <xdr:sp>
      <xdr:nvSpPr>
        <xdr:cNvPr id="160" name="AutoShape 897"/>
        <xdr:cNvSpPr>
          <a:spLocks/>
        </xdr:cNvSpPr>
      </xdr:nvSpPr>
      <xdr:spPr>
        <a:xfrm>
          <a:off x="2628900" y="29822775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38100</xdr:rowOff>
    </xdr:from>
    <xdr:to>
      <xdr:col>5</xdr:col>
      <xdr:colOff>0</xdr:colOff>
      <xdr:row>208</xdr:row>
      <xdr:rowOff>85725</xdr:rowOff>
    </xdr:to>
    <xdr:sp>
      <xdr:nvSpPr>
        <xdr:cNvPr id="161" name="Line 899"/>
        <xdr:cNvSpPr>
          <a:spLocks/>
        </xdr:cNvSpPr>
      </xdr:nvSpPr>
      <xdr:spPr>
        <a:xfrm>
          <a:off x="904875" y="301656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208</xdr:row>
      <xdr:rowOff>0</xdr:rowOff>
    </xdr:from>
    <xdr:to>
      <xdr:col>15</xdr:col>
      <xdr:colOff>76200</xdr:colOff>
      <xdr:row>208</xdr:row>
      <xdr:rowOff>0</xdr:rowOff>
    </xdr:to>
    <xdr:sp>
      <xdr:nvSpPr>
        <xdr:cNvPr id="162" name="Line 900"/>
        <xdr:cNvSpPr>
          <a:spLocks/>
        </xdr:cNvSpPr>
      </xdr:nvSpPr>
      <xdr:spPr>
        <a:xfrm>
          <a:off x="847725" y="30556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205</xdr:row>
      <xdr:rowOff>19050</xdr:rowOff>
    </xdr:from>
    <xdr:to>
      <xdr:col>15</xdr:col>
      <xdr:colOff>0</xdr:colOff>
      <xdr:row>208</xdr:row>
      <xdr:rowOff>76200</xdr:rowOff>
    </xdr:to>
    <xdr:sp>
      <xdr:nvSpPr>
        <xdr:cNvPr id="163" name="Line 901"/>
        <xdr:cNvSpPr>
          <a:spLocks/>
        </xdr:cNvSpPr>
      </xdr:nvSpPr>
      <xdr:spPr>
        <a:xfrm>
          <a:off x="2714625" y="30146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207</xdr:row>
      <xdr:rowOff>114300</xdr:rowOff>
    </xdr:from>
    <xdr:to>
      <xdr:col>5</xdr:col>
      <xdr:colOff>28575</xdr:colOff>
      <xdr:row>208</xdr:row>
      <xdr:rowOff>28575</xdr:rowOff>
    </xdr:to>
    <xdr:sp>
      <xdr:nvSpPr>
        <xdr:cNvPr id="164" name="Line 902"/>
        <xdr:cNvSpPr>
          <a:spLocks/>
        </xdr:cNvSpPr>
      </xdr:nvSpPr>
      <xdr:spPr>
        <a:xfrm flipH="1">
          <a:off x="866775" y="305276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207</xdr:row>
      <xdr:rowOff>104775</xdr:rowOff>
    </xdr:from>
    <xdr:to>
      <xdr:col>15</xdr:col>
      <xdr:colOff>38100</xdr:colOff>
      <xdr:row>208</xdr:row>
      <xdr:rowOff>28575</xdr:rowOff>
    </xdr:to>
    <xdr:sp>
      <xdr:nvSpPr>
        <xdr:cNvPr id="165" name="Line 903"/>
        <xdr:cNvSpPr>
          <a:spLocks/>
        </xdr:cNvSpPr>
      </xdr:nvSpPr>
      <xdr:spPr>
        <a:xfrm flipH="1">
          <a:off x="2676525" y="30518100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206</xdr:row>
      <xdr:rowOff>0</xdr:rowOff>
    </xdr:from>
    <xdr:to>
      <xdr:col>15</xdr:col>
      <xdr:colOff>76200</xdr:colOff>
      <xdr:row>206</xdr:row>
      <xdr:rowOff>0</xdr:rowOff>
    </xdr:to>
    <xdr:sp>
      <xdr:nvSpPr>
        <xdr:cNvPr id="166" name="Line 904"/>
        <xdr:cNvSpPr>
          <a:spLocks/>
        </xdr:cNvSpPr>
      </xdr:nvSpPr>
      <xdr:spPr>
        <a:xfrm>
          <a:off x="828675" y="302704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205</xdr:row>
      <xdr:rowOff>114300</xdr:rowOff>
    </xdr:from>
    <xdr:to>
      <xdr:col>5</xdr:col>
      <xdr:colOff>28575</xdr:colOff>
      <xdr:row>206</xdr:row>
      <xdr:rowOff>28575</xdr:rowOff>
    </xdr:to>
    <xdr:sp>
      <xdr:nvSpPr>
        <xdr:cNvPr id="167" name="Line 905"/>
        <xdr:cNvSpPr>
          <a:spLocks/>
        </xdr:cNvSpPr>
      </xdr:nvSpPr>
      <xdr:spPr>
        <a:xfrm flipH="1">
          <a:off x="876300" y="302418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205</xdr:row>
      <xdr:rowOff>114300</xdr:rowOff>
    </xdr:from>
    <xdr:to>
      <xdr:col>15</xdr:col>
      <xdr:colOff>28575</xdr:colOff>
      <xdr:row>206</xdr:row>
      <xdr:rowOff>38100</xdr:rowOff>
    </xdr:to>
    <xdr:sp>
      <xdr:nvSpPr>
        <xdr:cNvPr id="168" name="Line 906"/>
        <xdr:cNvSpPr>
          <a:spLocks/>
        </xdr:cNvSpPr>
      </xdr:nvSpPr>
      <xdr:spPr>
        <a:xfrm flipH="1">
          <a:off x="2686050" y="3024187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205</xdr:row>
      <xdr:rowOff>114300</xdr:rowOff>
    </xdr:from>
    <xdr:to>
      <xdr:col>10</xdr:col>
      <xdr:colOff>47625</xdr:colOff>
      <xdr:row>206</xdr:row>
      <xdr:rowOff>19050</xdr:rowOff>
    </xdr:to>
    <xdr:sp>
      <xdr:nvSpPr>
        <xdr:cNvPr id="169" name="Line 907"/>
        <xdr:cNvSpPr>
          <a:spLocks/>
        </xdr:cNvSpPr>
      </xdr:nvSpPr>
      <xdr:spPr>
        <a:xfrm flipH="1">
          <a:off x="1790700" y="30241875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203</xdr:row>
      <xdr:rowOff>152400</xdr:rowOff>
    </xdr:from>
    <xdr:to>
      <xdr:col>10</xdr:col>
      <xdr:colOff>9525</xdr:colOff>
      <xdr:row>206</xdr:row>
      <xdr:rowOff>76200</xdr:rowOff>
    </xdr:to>
    <xdr:sp>
      <xdr:nvSpPr>
        <xdr:cNvPr id="170" name="Line 908"/>
        <xdr:cNvSpPr>
          <a:spLocks/>
        </xdr:cNvSpPr>
      </xdr:nvSpPr>
      <xdr:spPr>
        <a:xfrm>
          <a:off x="1819275" y="29965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200</xdr:row>
      <xdr:rowOff>0</xdr:rowOff>
    </xdr:from>
    <xdr:to>
      <xdr:col>10</xdr:col>
      <xdr:colOff>9525</xdr:colOff>
      <xdr:row>203</xdr:row>
      <xdr:rowOff>9525</xdr:rowOff>
    </xdr:to>
    <xdr:sp>
      <xdr:nvSpPr>
        <xdr:cNvPr id="171" name="Line 909"/>
        <xdr:cNvSpPr>
          <a:spLocks/>
        </xdr:cNvSpPr>
      </xdr:nvSpPr>
      <xdr:spPr>
        <a:xfrm>
          <a:off x="1819275" y="29375100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208</xdr:row>
      <xdr:rowOff>104775</xdr:rowOff>
    </xdr:from>
    <xdr:to>
      <xdr:col>5</xdr:col>
      <xdr:colOff>0</xdr:colOff>
      <xdr:row>211</xdr:row>
      <xdr:rowOff>38100</xdr:rowOff>
    </xdr:to>
    <xdr:sp>
      <xdr:nvSpPr>
        <xdr:cNvPr id="172" name="Line 910"/>
        <xdr:cNvSpPr>
          <a:spLocks/>
        </xdr:cNvSpPr>
      </xdr:nvSpPr>
      <xdr:spPr>
        <a:xfrm flipV="1">
          <a:off x="904875" y="306609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208</xdr:row>
      <xdr:rowOff>104775</xdr:rowOff>
    </xdr:from>
    <xdr:to>
      <xdr:col>15</xdr:col>
      <xdr:colOff>0</xdr:colOff>
      <xdr:row>211</xdr:row>
      <xdr:rowOff>38100</xdr:rowOff>
    </xdr:to>
    <xdr:sp>
      <xdr:nvSpPr>
        <xdr:cNvPr id="173" name="Line 911"/>
        <xdr:cNvSpPr>
          <a:spLocks/>
        </xdr:cNvSpPr>
      </xdr:nvSpPr>
      <xdr:spPr>
        <a:xfrm flipV="1">
          <a:off x="2714625" y="306609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212</xdr:row>
      <xdr:rowOff>0</xdr:rowOff>
    </xdr:from>
    <xdr:to>
      <xdr:col>6</xdr:col>
      <xdr:colOff>76200</xdr:colOff>
      <xdr:row>212</xdr:row>
      <xdr:rowOff>0</xdr:rowOff>
    </xdr:to>
    <xdr:sp>
      <xdr:nvSpPr>
        <xdr:cNvPr id="174" name="Line 912"/>
        <xdr:cNvSpPr>
          <a:spLocks/>
        </xdr:cNvSpPr>
      </xdr:nvSpPr>
      <xdr:spPr>
        <a:xfrm>
          <a:off x="904875" y="31127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211</xdr:row>
      <xdr:rowOff>95250</xdr:rowOff>
    </xdr:from>
    <xdr:to>
      <xdr:col>5</xdr:col>
      <xdr:colOff>0</xdr:colOff>
      <xdr:row>212</xdr:row>
      <xdr:rowOff>47625</xdr:rowOff>
    </xdr:to>
    <xdr:sp>
      <xdr:nvSpPr>
        <xdr:cNvPr id="175" name="Line 913"/>
        <xdr:cNvSpPr>
          <a:spLocks/>
        </xdr:cNvSpPr>
      </xdr:nvSpPr>
      <xdr:spPr>
        <a:xfrm>
          <a:off x="904875" y="31080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203</xdr:row>
      <xdr:rowOff>0</xdr:rowOff>
    </xdr:from>
    <xdr:to>
      <xdr:col>5</xdr:col>
      <xdr:colOff>85725</xdr:colOff>
      <xdr:row>204</xdr:row>
      <xdr:rowOff>0</xdr:rowOff>
    </xdr:to>
    <xdr:sp>
      <xdr:nvSpPr>
        <xdr:cNvPr id="176" name="AutoShape 914"/>
        <xdr:cNvSpPr>
          <a:spLocks/>
        </xdr:cNvSpPr>
      </xdr:nvSpPr>
      <xdr:spPr>
        <a:xfrm>
          <a:off x="819150" y="29813250"/>
          <a:ext cx="171450" cy="161925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225</xdr:row>
      <xdr:rowOff>9525</xdr:rowOff>
    </xdr:from>
    <xdr:to>
      <xdr:col>15</xdr:col>
      <xdr:colOff>104775</xdr:colOff>
      <xdr:row>225</xdr:row>
      <xdr:rowOff>123825</xdr:rowOff>
    </xdr:to>
    <xdr:sp>
      <xdr:nvSpPr>
        <xdr:cNvPr id="177" name="AutoShape 915"/>
        <xdr:cNvSpPr>
          <a:spLocks/>
        </xdr:cNvSpPr>
      </xdr:nvSpPr>
      <xdr:spPr>
        <a:xfrm>
          <a:off x="2628900" y="33023175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227</xdr:row>
      <xdr:rowOff>19050</xdr:rowOff>
    </xdr:from>
    <xdr:to>
      <xdr:col>5</xdr:col>
      <xdr:colOff>0</xdr:colOff>
      <xdr:row>230</xdr:row>
      <xdr:rowOff>66675</xdr:rowOff>
    </xdr:to>
    <xdr:sp>
      <xdr:nvSpPr>
        <xdr:cNvPr id="178" name="Line 916"/>
        <xdr:cNvSpPr>
          <a:spLocks/>
        </xdr:cNvSpPr>
      </xdr:nvSpPr>
      <xdr:spPr>
        <a:xfrm>
          <a:off x="904875" y="333470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230</xdr:row>
      <xdr:rowOff>0</xdr:rowOff>
    </xdr:from>
    <xdr:to>
      <xdr:col>15</xdr:col>
      <xdr:colOff>76200</xdr:colOff>
      <xdr:row>230</xdr:row>
      <xdr:rowOff>0</xdr:rowOff>
    </xdr:to>
    <xdr:sp>
      <xdr:nvSpPr>
        <xdr:cNvPr id="179" name="Line 917"/>
        <xdr:cNvSpPr>
          <a:spLocks/>
        </xdr:cNvSpPr>
      </xdr:nvSpPr>
      <xdr:spPr>
        <a:xfrm>
          <a:off x="838200" y="337566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227</xdr:row>
      <xdr:rowOff>19050</xdr:rowOff>
    </xdr:from>
    <xdr:to>
      <xdr:col>15</xdr:col>
      <xdr:colOff>0</xdr:colOff>
      <xdr:row>230</xdr:row>
      <xdr:rowOff>57150</xdr:rowOff>
    </xdr:to>
    <xdr:sp>
      <xdr:nvSpPr>
        <xdr:cNvPr id="180" name="Line 918"/>
        <xdr:cNvSpPr>
          <a:spLocks/>
        </xdr:cNvSpPr>
      </xdr:nvSpPr>
      <xdr:spPr>
        <a:xfrm>
          <a:off x="2714625" y="333470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229</xdr:row>
      <xdr:rowOff>114300</xdr:rowOff>
    </xdr:from>
    <xdr:to>
      <xdr:col>5</xdr:col>
      <xdr:colOff>28575</xdr:colOff>
      <xdr:row>230</xdr:row>
      <xdr:rowOff>38100</xdr:rowOff>
    </xdr:to>
    <xdr:sp>
      <xdr:nvSpPr>
        <xdr:cNvPr id="181" name="Line 919"/>
        <xdr:cNvSpPr>
          <a:spLocks/>
        </xdr:cNvSpPr>
      </xdr:nvSpPr>
      <xdr:spPr>
        <a:xfrm flipH="1">
          <a:off x="866775" y="3372802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229</xdr:row>
      <xdr:rowOff>114300</xdr:rowOff>
    </xdr:from>
    <xdr:to>
      <xdr:col>15</xdr:col>
      <xdr:colOff>38100</xdr:colOff>
      <xdr:row>230</xdr:row>
      <xdr:rowOff>38100</xdr:rowOff>
    </xdr:to>
    <xdr:sp>
      <xdr:nvSpPr>
        <xdr:cNvPr id="182" name="Line 920"/>
        <xdr:cNvSpPr>
          <a:spLocks/>
        </xdr:cNvSpPr>
      </xdr:nvSpPr>
      <xdr:spPr>
        <a:xfrm flipH="1">
          <a:off x="2676525" y="33728025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228</xdr:row>
      <xdr:rowOff>0</xdr:rowOff>
    </xdr:from>
    <xdr:to>
      <xdr:col>15</xdr:col>
      <xdr:colOff>76200</xdr:colOff>
      <xdr:row>228</xdr:row>
      <xdr:rowOff>0</xdr:rowOff>
    </xdr:to>
    <xdr:sp>
      <xdr:nvSpPr>
        <xdr:cNvPr id="183" name="Line 921"/>
        <xdr:cNvSpPr>
          <a:spLocks/>
        </xdr:cNvSpPr>
      </xdr:nvSpPr>
      <xdr:spPr>
        <a:xfrm>
          <a:off x="828675" y="334708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227</xdr:row>
      <xdr:rowOff>114300</xdr:rowOff>
    </xdr:from>
    <xdr:to>
      <xdr:col>5</xdr:col>
      <xdr:colOff>28575</xdr:colOff>
      <xdr:row>228</xdr:row>
      <xdr:rowOff>28575</xdr:rowOff>
    </xdr:to>
    <xdr:sp>
      <xdr:nvSpPr>
        <xdr:cNvPr id="184" name="Line 922"/>
        <xdr:cNvSpPr>
          <a:spLocks/>
        </xdr:cNvSpPr>
      </xdr:nvSpPr>
      <xdr:spPr>
        <a:xfrm flipH="1">
          <a:off x="866775" y="334422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227</xdr:row>
      <xdr:rowOff>114300</xdr:rowOff>
    </xdr:from>
    <xdr:to>
      <xdr:col>15</xdr:col>
      <xdr:colOff>38100</xdr:colOff>
      <xdr:row>228</xdr:row>
      <xdr:rowOff>28575</xdr:rowOff>
    </xdr:to>
    <xdr:sp>
      <xdr:nvSpPr>
        <xdr:cNvPr id="185" name="Line 923"/>
        <xdr:cNvSpPr>
          <a:spLocks/>
        </xdr:cNvSpPr>
      </xdr:nvSpPr>
      <xdr:spPr>
        <a:xfrm flipH="1">
          <a:off x="2676525" y="33442275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227</xdr:row>
      <xdr:rowOff>104775</xdr:rowOff>
    </xdr:from>
    <xdr:to>
      <xdr:col>8</xdr:col>
      <xdr:colOff>95250</xdr:colOff>
      <xdr:row>228</xdr:row>
      <xdr:rowOff>28575</xdr:rowOff>
    </xdr:to>
    <xdr:sp>
      <xdr:nvSpPr>
        <xdr:cNvPr id="186" name="Line 924"/>
        <xdr:cNvSpPr>
          <a:spLocks/>
        </xdr:cNvSpPr>
      </xdr:nvSpPr>
      <xdr:spPr>
        <a:xfrm flipH="1">
          <a:off x="1485900" y="3343275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225</xdr:row>
      <xdr:rowOff>133350</xdr:rowOff>
    </xdr:from>
    <xdr:to>
      <xdr:col>8</xdr:col>
      <xdr:colOff>66675</xdr:colOff>
      <xdr:row>228</xdr:row>
      <xdr:rowOff>57150</xdr:rowOff>
    </xdr:to>
    <xdr:sp>
      <xdr:nvSpPr>
        <xdr:cNvPr id="187" name="Line 925"/>
        <xdr:cNvSpPr>
          <a:spLocks/>
        </xdr:cNvSpPr>
      </xdr:nvSpPr>
      <xdr:spPr>
        <a:xfrm>
          <a:off x="1514475" y="33147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221</xdr:row>
      <xdr:rowOff>19050</xdr:rowOff>
    </xdr:from>
    <xdr:to>
      <xdr:col>8</xdr:col>
      <xdr:colOff>57150</xdr:colOff>
      <xdr:row>225</xdr:row>
      <xdr:rowOff>0</xdr:rowOff>
    </xdr:to>
    <xdr:sp>
      <xdr:nvSpPr>
        <xdr:cNvPr id="188" name="Line 926"/>
        <xdr:cNvSpPr>
          <a:spLocks/>
        </xdr:cNvSpPr>
      </xdr:nvSpPr>
      <xdr:spPr>
        <a:xfrm>
          <a:off x="1504950" y="32451675"/>
          <a:ext cx="0" cy="561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230</xdr:row>
      <xdr:rowOff>104775</xdr:rowOff>
    </xdr:from>
    <xdr:to>
      <xdr:col>5</xdr:col>
      <xdr:colOff>0</xdr:colOff>
      <xdr:row>233</xdr:row>
      <xdr:rowOff>38100</xdr:rowOff>
    </xdr:to>
    <xdr:sp>
      <xdr:nvSpPr>
        <xdr:cNvPr id="189" name="Line 927"/>
        <xdr:cNvSpPr>
          <a:spLocks/>
        </xdr:cNvSpPr>
      </xdr:nvSpPr>
      <xdr:spPr>
        <a:xfrm flipV="1">
          <a:off x="904875" y="338613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230</xdr:row>
      <xdr:rowOff>104775</xdr:rowOff>
    </xdr:from>
    <xdr:to>
      <xdr:col>15</xdr:col>
      <xdr:colOff>0</xdr:colOff>
      <xdr:row>233</xdr:row>
      <xdr:rowOff>38100</xdr:rowOff>
    </xdr:to>
    <xdr:sp>
      <xdr:nvSpPr>
        <xdr:cNvPr id="190" name="Line 928"/>
        <xdr:cNvSpPr>
          <a:spLocks/>
        </xdr:cNvSpPr>
      </xdr:nvSpPr>
      <xdr:spPr>
        <a:xfrm flipV="1">
          <a:off x="2714625" y="338613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234</xdr:row>
      <xdr:rowOff>0</xdr:rowOff>
    </xdr:from>
    <xdr:to>
      <xdr:col>6</xdr:col>
      <xdr:colOff>76200</xdr:colOff>
      <xdr:row>234</xdr:row>
      <xdr:rowOff>0</xdr:rowOff>
    </xdr:to>
    <xdr:sp>
      <xdr:nvSpPr>
        <xdr:cNvPr id="191" name="Line 929"/>
        <xdr:cNvSpPr>
          <a:spLocks/>
        </xdr:cNvSpPr>
      </xdr:nvSpPr>
      <xdr:spPr>
        <a:xfrm>
          <a:off x="904875" y="343281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233</xdr:row>
      <xdr:rowOff>95250</xdr:rowOff>
    </xdr:from>
    <xdr:to>
      <xdr:col>5</xdr:col>
      <xdr:colOff>0</xdr:colOff>
      <xdr:row>234</xdr:row>
      <xdr:rowOff>47625</xdr:rowOff>
    </xdr:to>
    <xdr:sp>
      <xdr:nvSpPr>
        <xdr:cNvPr id="192" name="Line 930"/>
        <xdr:cNvSpPr>
          <a:spLocks/>
        </xdr:cNvSpPr>
      </xdr:nvSpPr>
      <xdr:spPr>
        <a:xfrm>
          <a:off x="904875" y="34280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225</xdr:row>
      <xdr:rowOff>0</xdr:rowOff>
    </xdr:from>
    <xdr:to>
      <xdr:col>5</xdr:col>
      <xdr:colOff>85725</xdr:colOff>
      <xdr:row>226</xdr:row>
      <xdr:rowOff>0</xdr:rowOff>
    </xdr:to>
    <xdr:sp>
      <xdr:nvSpPr>
        <xdr:cNvPr id="193" name="AutoShape 931"/>
        <xdr:cNvSpPr>
          <a:spLocks/>
        </xdr:cNvSpPr>
      </xdr:nvSpPr>
      <xdr:spPr>
        <a:xfrm>
          <a:off x="819150" y="33013650"/>
          <a:ext cx="171450" cy="161925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221</xdr:row>
      <xdr:rowOff>19050</xdr:rowOff>
    </xdr:from>
    <xdr:to>
      <xdr:col>11</xdr:col>
      <xdr:colOff>142875</xdr:colOff>
      <xdr:row>225</xdr:row>
      <xdr:rowOff>0</xdr:rowOff>
    </xdr:to>
    <xdr:sp>
      <xdr:nvSpPr>
        <xdr:cNvPr id="194" name="Line 932"/>
        <xdr:cNvSpPr>
          <a:spLocks/>
        </xdr:cNvSpPr>
      </xdr:nvSpPr>
      <xdr:spPr>
        <a:xfrm>
          <a:off x="2133600" y="32451675"/>
          <a:ext cx="0" cy="561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227</xdr:row>
      <xdr:rowOff>104775</xdr:rowOff>
    </xdr:from>
    <xdr:to>
      <xdr:col>12</xdr:col>
      <xdr:colOff>0</xdr:colOff>
      <xdr:row>228</xdr:row>
      <xdr:rowOff>28575</xdr:rowOff>
    </xdr:to>
    <xdr:sp>
      <xdr:nvSpPr>
        <xdr:cNvPr id="195" name="Line 933"/>
        <xdr:cNvSpPr>
          <a:spLocks/>
        </xdr:cNvSpPr>
      </xdr:nvSpPr>
      <xdr:spPr>
        <a:xfrm flipH="1">
          <a:off x="2114550" y="3343275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225</xdr:row>
      <xdr:rowOff>133350</xdr:rowOff>
    </xdr:from>
    <xdr:to>
      <xdr:col>11</xdr:col>
      <xdr:colOff>152400</xdr:colOff>
      <xdr:row>228</xdr:row>
      <xdr:rowOff>57150</xdr:rowOff>
    </xdr:to>
    <xdr:sp>
      <xdr:nvSpPr>
        <xdr:cNvPr id="196" name="Line 934"/>
        <xdr:cNvSpPr>
          <a:spLocks/>
        </xdr:cNvSpPr>
      </xdr:nvSpPr>
      <xdr:spPr>
        <a:xfrm>
          <a:off x="2143125" y="33147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245</xdr:row>
      <xdr:rowOff>9525</xdr:rowOff>
    </xdr:from>
    <xdr:to>
      <xdr:col>15</xdr:col>
      <xdr:colOff>104775</xdr:colOff>
      <xdr:row>245</xdr:row>
      <xdr:rowOff>123825</xdr:rowOff>
    </xdr:to>
    <xdr:sp>
      <xdr:nvSpPr>
        <xdr:cNvPr id="197" name="AutoShape 935"/>
        <xdr:cNvSpPr>
          <a:spLocks/>
        </xdr:cNvSpPr>
      </xdr:nvSpPr>
      <xdr:spPr>
        <a:xfrm>
          <a:off x="2628900" y="35937825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242</xdr:row>
      <xdr:rowOff>85725</xdr:rowOff>
    </xdr:from>
    <xdr:to>
      <xdr:col>10</xdr:col>
      <xdr:colOff>0</xdr:colOff>
      <xdr:row>244</xdr:row>
      <xdr:rowOff>95250</xdr:rowOff>
    </xdr:to>
    <xdr:sp>
      <xdr:nvSpPr>
        <xdr:cNvPr id="198" name="Line 936"/>
        <xdr:cNvSpPr>
          <a:spLocks/>
        </xdr:cNvSpPr>
      </xdr:nvSpPr>
      <xdr:spPr>
        <a:xfrm flipV="1">
          <a:off x="1457325" y="35575875"/>
          <a:ext cx="352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247</xdr:row>
      <xdr:rowOff>28575</xdr:rowOff>
    </xdr:from>
    <xdr:to>
      <xdr:col>5</xdr:col>
      <xdr:colOff>0</xdr:colOff>
      <xdr:row>248</xdr:row>
      <xdr:rowOff>66675</xdr:rowOff>
    </xdr:to>
    <xdr:sp>
      <xdr:nvSpPr>
        <xdr:cNvPr id="199" name="Line 938"/>
        <xdr:cNvSpPr>
          <a:spLocks/>
        </xdr:cNvSpPr>
      </xdr:nvSpPr>
      <xdr:spPr>
        <a:xfrm>
          <a:off x="904875" y="362712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248</xdr:row>
      <xdr:rowOff>0</xdr:rowOff>
    </xdr:from>
    <xdr:to>
      <xdr:col>15</xdr:col>
      <xdr:colOff>66675</xdr:colOff>
      <xdr:row>248</xdr:row>
      <xdr:rowOff>0</xdr:rowOff>
    </xdr:to>
    <xdr:sp>
      <xdr:nvSpPr>
        <xdr:cNvPr id="200" name="Line 939"/>
        <xdr:cNvSpPr>
          <a:spLocks/>
        </xdr:cNvSpPr>
      </xdr:nvSpPr>
      <xdr:spPr>
        <a:xfrm>
          <a:off x="847725" y="363855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247</xdr:row>
      <xdr:rowOff>47625</xdr:rowOff>
    </xdr:from>
    <xdr:to>
      <xdr:col>15</xdr:col>
      <xdr:colOff>0</xdr:colOff>
      <xdr:row>248</xdr:row>
      <xdr:rowOff>66675</xdr:rowOff>
    </xdr:to>
    <xdr:sp>
      <xdr:nvSpPr>
        <xdr:cNvPr id="201" name="Line 940"/>
        <xdr:cNvSpPr>
          <a:spLocks/>
        </xdr:cNvSpPr>
      </xdr:nvSpPr>
      <xdr:spPr>
        <a:xfrm>
          <a:off x="2714625" y="36290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247</xdr:row>
      <xdr:rowOff>114300</xdr:rowOff>
    </xdr:from>
    <xdr:to>
      <xdr:col>5</xdr:col>
      <xdr:colOff>28575</xdr:colOff>
      <xdr:row>248</xdr:row>
      <xdr:rowOff>28575</xdr:rowOff>
    </xdr:to>
    <xdr:sp>
      <xdr:nvSpPr>
        <xdr:cNvPr id="202" name="Line 941"/>
        <xdr:cNvSpPr>
          <a:spLocks/>
        </xdr:cNvSpPr>
      </xdr:nvSpPr>
      <xdr:spPr>
        <a:xfrm flipH="1">
          <a:off x="885825" y="3635692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247</xdr:row>
      <xdr:rowOff>123825</xdr:rowOff>
    </xdr:from>
    <xdr:to>
      <xdr:col>15</xdr:col>
      <xdr:colOff>28575</xdr:colOff>
      <xdr:row>248</xdr:row>
      <xdr:rowOff>28575</xdr:rowOff>
    </xdr:to>
    <xdr:sp>
      <xdr:nvSpPr>
        <xdr:cNvPr id="203" name="Line 942"/>
        <xdr:cNvSpPr>
          <a:spLocks/>
        </xdr:cNvSpPr>
      </xdr:nvSpPr>
      <xdr:spPr>
        <a:xfrm flipH="1">
          <a:off x="2686050" y="36366450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249</xdr:row>
      <xdr:rowOff>0</xdr:rowOff>
    </xdr:from>
    <xdr:to>
      <xdr:col>5</xdr:col>
      <xdr:colOff>0</xdr:colOff>
      <xdr:row>251</xdr:row>
      <xdr:rowOff>76200</xdr:rowOff>
    </xdr:to>
    <xdr:sp>
      <xdr:nvSpPr>
        <xdr:cNvPr id="204" name="Line 943"/>
        <xdr:cNvSpPr>
          <a:spLocks/>
        </xdr:cNvSpPr>
      </xdr:nvSpPr>
      <xdr:spPr>
        <a:xfrm flipV="1">
          <a:off x="904875" y="365283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249</xdr:row>
      <xdr:rowOff>0</xdr:rowOff>
    </xdr:from>
    <xdr:to>
      <xdr:col>15</xdr:col>
      <xdr:colOff>0</xdr:colOff>
      <xdr:row>251</xdr:row>
      <xdr:rowOff>76200</xdr:rowOff>
    </xdr:to>
    <xdr:sp>
      <xdr:nvSpPr>
        <xdr:cNvPr id="205" name="Line 944"/>
        <xdr:cNvSpPr>
          <a:spLocks/>
        </xdr:cNvSpPr>
      </xdr:nvSpPr>
      <xdr:spPr>
        <a:xfrm flipV="1">
          <a:off x="2714625" y="365283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252</xdr:row>
      <xdr:rowOff>0</xdr:rowOff>
    </xdr:from>
    <xdr:to>
      <xdr:col>6</xdr:col>
      <xdr:colOff>66675</xdr:colOff>
      <xdr:row>252</xdr:row>
      <xdr:rowOff>0</xdr:rowOff>
    </xdr:to>
    <xdr:sp>
      <xdr:nvSpPr>
        <xdr:cNvPr id="206" name="Line 945"/>
        <xdr:cNvSpPr>
          <a:spLocks/>
        </xdr:cNvSpPr>
      </xdr:nvSpPr>
      <xdr:spPr>
        <a:xfrm>
          <a:off x="895350" y="36957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251</xdr:row>
      <xdr:rowOff>95250</xdr:rowOff>
    </xdr:from>
    <xdr:to>
      <xdr:col>4</xdr:col>
      <xdr:colOff>171450</xdr:colOff>
      <xdr:row>252</xdr:row>
      <xdr:rowOff>47625</xdr:rowOff>
    </xdr:to>
    <xdr:sp>
      <xdr:nvSpPr>
        <xdr:cNvPr id="207" name="Line 946"/>
        <xdr:cNvSpPr>
          <a:spLocks/>
        </xdr:cNvSpPr>
      </xdr:nvSpPr>
      <xdr:spPr>
        <a:xfrm>
          <a:off x="895350" y="369093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245</xdr:row>
      <xdr:rowOff>0</xdr:rowOff>
    </xdr:from>
    <xdr:to>
      <xdr:col>5</xdr:col>
      <xdr:colOff>85725</xdr:colOff>
      <xdr:row>246</xdr:row>
      <xdr:rowOff>0</xdr:rowOff>
    </xdr:to>
    <xdr:sp>
      <xdr:nvSpPr>
        <xdr:cNvPr id="208" name="AutoShape 947"/>
        <xdr:cNvSpPr>
          <a:spLocks/>
        </xdr:cNvSpPr>
      </xdr:nvSpPr>
      <xdr:spPr>
        <a:xfrm>
          <a:off x="819150" y="35928300"/>
          <a:ext cx="171450" cy="161925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287</xdr:row>
      <xdr:rowOff>9525</xdr:rowOff>
    </xdr:from>
    <xdr:to>
      <xdr:col>15</xdr:col>
      <xdr:colOff>104775</xdr:colOff>
      <xdr:row>287</xdr:row>
      <xdr:rowOff>123825</xdr:rowOff>
    </xdr:to>
    <xdr:sp>
      <xdr:nvSpPr>
        <xdr:cNvPr id="209" name="AutoShape 948"/>
        <xdr:cNvSpPr>
          <a:spLocks/>
        </xdr:cNvSpPr>
      </xdr:nvSpPr>
      <xdr:spPr>
        <a:xfrm>
          <a:off x="2628900" y="42052875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289</xdr:row>
      <xdr:rowOff>19050</xdr:rowOff>
    </xdr:from>
    <xdr:to>
      <xdr:col>5</xdr:col>
      <xdr:colOff>0</xdr:colOff>
      <xdr:row>292</xdr:row>
      <xdr:rowOff>66675</xdr:rowOff>
    </xdr:to>
    <xdr:sp>
      <xdr:nvSpPr>
        <xdr:cNvPr id="210" name="Line 949"/>
        <xdr:cNvSpPr>
          <a:spLocks/>
        </xdr:cNvSpPr>
      </xdr:nvSpPr>
      <xdr:spPr>
        <a:xfrm>
          <a:off x="904875" y="423767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292</xdr:row>
      <xdr:rowOff>0</xdr:rowOff>
    </xdr:from>
    <xdr:to>
      <xdr:col>15</xdr:col>
      <xdr:colOff>76200</xdr:colOff>
      <xdr:row>292</xdr:row>
      <xdr:rowOff>0</xdr:rowOff>
    </xdr:to>
    <xdr:sp>
      <xdr:nvSpPr>
        <xdr:cNvPr id="211" name="Line 950"/>
        <xdr:cNvSpPr>
          <a:spLocks/>
        </xdr:cNvSpPr>
      </xdr:nvSpPr>
      <xdr:spPr>
        <a:xfrm>
          <a:off x="847725" y="42786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289</xdr:row>
      <xdr:rowOff>19050</xdr:rowOff>
    </xdr:from>
    <xdr:to>
      <xdr:col>15</xdr:col>
      <xdr:colOff>0</xdr:colOff>
      <xdr:row>292</xdr:row>
      <xdr:rowOff>76200</xdr:rowOff>
    </xdr:to>
    <xdr:sp>
      <xdr:nvSpPr>
        <xdr:cNvPr id="212" name="Line 951"/>
        <xdr:cNvSpPr>
          <a:spLocks/>
        </xdr:cNvSpPr>
      </xdr:nvSpPr>
      <xdr:spPr>
        <a:xfrm>
          <a:off x="2714625" y="42376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291</xdr:row>
      <xdr:rowOff>114300</xdr:rowOff>
    </xdr:from>
    <xdr:to>
      <xdr:col>5</xdr:col>
      <xdr:colOff>28575</xdr:colOff>
      <xdr:row>292</xdr:row>
      <xdr:rowOff>28575</xdr:rowOff>
    </xdr:to>
    <xdr:sp>
      <xdr:nvSpPr>
        <xdr:cNvPr id="213" name="Line 952"/>
        <xdr:cNvSpPr>
          <a:spLocks/>
        </xdr:cNvSpPr>
      </xdr:nvSpPr>
      <xdr:spPr>
        <a:xfrm flipH="1">
          <a:off x="866775" y="427577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291</xdr:row>
      <xdr:rowOff>114300</xdr:rowOff>
    </xdr:from>
    <xdr:to>
      <xdr:col>15</xdr:col>
      <xdr:colOff>38100</xdr:colOff>
      <xdr:row>292</xdr:row>
      <xdr:rowOff>38100</xdr:rowOff>
    </xdr:to>
    <xdr:sp>
      <xdr:nvSpPr>
        <xdr:cNvPr id="214" name="Line 953"/>
        <xdr:cNvSpPr>
          <a:spLocks/>
        </xdr:cNvSpPr>
      </xdr:nvSpPr>
      <xdr:spPr>
        <a:xfrm flipH="1">
          <a:off x="2686050" y="4275772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290</xdr:row>
      <xdr:rowOff>0</xdr:rowOff>
    </xdr:from>
    <xdr:to>
      <xdr:col>15</xdr:col>
      <xdr:colOff>76200</xdr:colOff>
      <xdr:row>290</xdr:row>
      <xdr:rowOff>0</xdr:rowOff>
    </xdr:to>
    <xdr:sp>
      <xdr:nvSpPr>
        <xdr:cNvPr id="215" name="Line 954"/>
        <xdr:cNvSpPr>
          <a:spLocks/>
        </xdr:cNvSpPr>
      </xdr:nvSpPr>
      <xdr:spPr>
        <a:xfrm>
          <a:off x="838200" y="425005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289</xdr:row>
      <xdr:rowOff>114300</xdr:rowOff>
    </xdr:from>
    <xdr:to>
      <xdr:col>5</xdr:col>
      <xdr:colOff>28575</xdr:colOff>
      <xdr:row>290</xdr:row>
      <xdr:rowOff>38100</xdr:rowOff>
    </xdr:to>
    <xdr:sp>
      <xdr:nvSpPr>
        <xdr:cNvPr id="216" name="Line 955"/>
        <xdr:cNvSpPr>
          <a:spLocks/>
        </xdr:cNvSpPr>
      </xdr:nvSpPr>
      <xdr:spPr>
        <a:xfrm flipH="1">
          <a:off x="876300" y="4247197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289</xdr:row>
      <xdr:rowOff>114300</xdr:rowOff>
    </xdr:from>
    <xdr:to>
      <xdr:col>15</xdr:col>
      <xdr:colOff>28575</xdr:colOff>
      <xdr:row>290</xdr:row>
      <xdr:rowOff>38100</xdr:rowOff>
    </xdr:to>
    <xdr:sp>
      <xdr:nvSpPr>
        <xdr:cNvPr id="217" name="Line 956"/>
        <xdr:cNvSpPr>
          <a:spLocks/>
        </xdr:cNvSpPr>
      </xdr:nvSpPr>
      <xdr:spPr>
        <a:xfrm flipH="1">
          <a:off x="2676525" y="424719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289</xdr:row>
      <xdr:rowOff>114300</xdr:rowOff>
    </xdr:from>
    <xdr:to>
      <xdr:col>10</xdr:col>
      <xdr:colOff>38100</xdr:colOff>
      <xdr:row>290</xdr:row>
      <xdr:rowOff>19050</xdr:rowOff>
    </xdr:to>
    <xdr:sp>
      <xdr:nvSpPr>
        <xdr:cNvPr id="218" name="Line 957"/>
        <xdr:cNvSpPr>
          <a:spLocks/>
        </xdr:cNvSpPr>
      </xdr:nvSpPr>
      <xdr:spPr>
        <a:xfrm flipH="1">
          <a:off x="1781175" y="42471975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287</xdr:row>
      <xdr:rowOff>152400</xdr:rowOff>
    </xdr:from>
    <xdr:to>
      <xdr:col>10</xdr:col>
      <xdr:colOff>0</xdr:colOff>
      <xdr:row>290</xdr:row>
      <xdr:rowOff>66675</xdr:rowOff>
    </xdr:to>
    <xdr:sp>
      <xdr:nvSpPr>
        <xdr:cNvPr id="219" name="Line 958"/>
        <xdr:cNvSpPr>
          <a:spLocks/>
        </xdr:cNvSpPr>
      </xdr:nvSpPr>
      <xdr:spPr>
        <a:xfrm>
          <a:off x="1809750" y="421957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292</xdr:row>
      <xdr:rowOff>104775</xdr:rowOff>
    </xdr:from>
    <xdr:to>
      <xdr:col>5</xdr:col>
      <xdr:colOff>0</xdr:colOff>
      <xdr:row>295</xdr:row>
      <xdr:rowOff>38100</xdr:rowOff>
    </xdr:to>
    <xdr:sp>
      <xdr:nvSpPr>
        <xdr:cNvPr id="220" name="Line 960"/>
        <xdr:cNvSpPr>
          <a:spLocks/>
        </xdr:cNvSpPr>
      </xdr:nvSpPr>
      <xdr:spPr>
        <a:xfrm flipV="1">
          <a:off x="904875" y="428910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292</xdr:row>
      <xdr:rowOff>104775</xdr:rowOff>
    </xdr:from>
    <xdr:to>
      <xdr:col>15</xdr:col>
      <xdr:colOff>0</xdr:colOff>
      <xdr:row>295</xdr:row>
      <xdr:rowOff>38100</xdr:rowOff>
    </xdr:to>
    <xdr:sp>
      <xdr:nvSpPr>
        <xdr:cNvPr id="221" name="Line 961"/>
        <xdr:cNvSpPr>
          <a:spLocks/>
        </xdr:cNvSpPr>
      </xdr:nvSpPr>
      <xdr:spPr>
        <a:xfrm flipV="1">
          <a:off x="2714625" y="428910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296</xdr:row>
      <xdr:rowOff>0</xdr:rowOff>
    </xdr:from>
    <xdr:to>
      <xdr:col>6</xdr:col>
      <xdr:colOff>76200</xdr:colOff>
      <xdr:row>296</xdr:row>
      <xdr:rowOff>0</xdr:rowOff>
    </xdr:to>
    <xdr:sp>
      <xdr:nvSpPr>
        <xdr:cNvPr id="222" name="Line 962"/>
        <xdr:cNvSpPr>
          <a:spLocks/>
        </xdr:cNvSpPr>
      </xdr:nvSpPr>
      <xdr:spPr>
        <a:xfrm>
          <a:off x="904875" y="43357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295</xdr:row>
      <xdr:rowOff>95250</xdr:rowOff>
    </xdr:from>
    <xdr:to>
      <xdr:col>5</xdr:col>
      <xdr:colOff>0</xdr:colOff>
      <xdr:row>296</xdr:row>
      <xdr:rowOff>47625</xdr:rowOff>
    </xdr:to>
    <xdr:sp>
      <xdr:nvSpPr>
        <xdr:cNvPr id="223" name="Line 963"/>
        <xdr:cNvSpPr>
          <a:spLocks/>
        </xdr:cNvSpPr>
      </xdr:nvSpPr>
      <xdr:spPr>
        <a:xfrm>
          <a:off x="904875" y="43310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287</xdr:row>
      <xdr:rowOff>0</xdr:rowOff>
    </xdr:from>
    <xdr:to>
      <xdr:col>5</xdr:col>
      <xdr:colOff>85725</xdr:colOff>
      <xdr:row>288</xdr:row>
      <xdr:rowOff>0</xdr:rowOff>
    </xdr:to>
    <xdr:sp>
      <xdr:nvSpPr>
        <xdr:cNvPr id="224" name="AutoShape 964"/>
        <xdr:cNvSpPr>
          <a:spLocks/>
        </xdr:cNvSpPr>
      </xdr:nvSpPr>
      <xdr:spPr>
        <a:xfrm>
          <a:off x="819150" y="42043350"/>
          <a:ext cx="171450" cy="161925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283</xdr:row>
      <xdr:rowOff>133350</xdr:rowOff>
    </xdr:from>
    <xdr:to>
      <xdr:col>10</xdr:col>
      <xdr:colOff>9525</xdr:colOff>
      <xdr:row>287</xdr:row>
      <xdr:rowOff>0</xdr:rowOff>
    </xdr:to>
    <xdr:sp>
      <xdr:nvSpPr>
        <xdr:cNvPr id="225" name="Line 965"/>
        <xdr:cNvSpPr>
          <a:spLocks/>
        </xdr:cNvSpPr>
      </xdr:nvSpPr>
      <xdr:spPr>
        <a:xfrm flipV="1">
          <a:off x="904875" y="41595675"/>
          <a:ext cx="914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283</xdr:row>
      <xdr:rowOff>133350</xdr:rowOff>
    </xdr:from>
    <xdr:to>
      <xdr:col>15</xdr:col>
      <xdr:colOff>9525</xdr:colOff>
      <xdr:row>287</xdr:row>
      <xdr:rowOff>0</xdr:rowOff>
    </xdr:to>
    <xdr:sp>
      <xdr:nvSpPr>
        <xdr:cNvPr id="226" name="Line 966"/>
        <xdr:cNvSpPr>
          <a:spLocks/>
        </xdr:cNvSpPr>
      </xdr:nvSpPr>
      <xdr:spPr>
        <a:xfrm>
          <a:off x="1819275" y="41595675"/>
          <a:ext cx="9048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284</xdr:row>
      <xdr:rowOff>0</xdr:rowOff>
    </xdr:from>
    <xdr:to>
      <xdr:col>10</xdr:col>
      <xdr:colOff>0</xdr:colOff>
      <xdr:row>287</xdr:row>
      <xdr:rowOff>0</xdr:rowOff>
    </xdr:to>
    <xdr:sp>
      <xdr:nvSpPr>
        <xdr:cNvPr id="227" name="Line 967"/>
        <xdr:cNvSpPr>
          <a:spLocks/>
        </xdr:cNvSpPr>
      </xdr:nvSpPr>
      <xdr:spPr>
        <a:xfrm flipV="1">
          <a:off x="1809750" y="41605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284</xdr:row>
      <xdr:rowOff>38100</xdr:rowOff>
    </xdr:from>
    <xdr:to>
      <xdr:col>9</xdr:col>
      <xdr:colOff>85725</xdr:colOff>
      <xdr:row>287</xdr:row>
      <xdr:rowOff>0</xdr:rowOff>
    </xdr:to>
    <xdr:sp>
      <xdr:nvSpPr>
        <xdr:cNvPr id="228" name="Line 968"/>
        <xdr:cNvSpPr>
          <a:spLocks/>
        </xdr:cNvSpPr>
      </xdr:nvSpPr>
      <xdr:spPr>
        <a:xfrm flipV="1">
          <a:off x="1714500" y="416433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284</xdr:row>
      <xdr:rowOff>85725</xdr:rowOff>
    </xdr:from>
    <xdr:to>
      <xdr:col>9</xdr:col>
      <xdr:colOff>0</xdr:colOff>
      <xdr:row>287</xdr:row>
      <xdr:rowOff>0</xdr:rowOff>
    </xdr:to>
    <xdr:sp>
      <xdr:nvSpPr>
        <xdr:cNvPr id="229" name="Line 969"/>
        <xdr:cNvSpPr>
          <a:spLocks/>
        </xdr:cNvSpPr>
      </xdr:nvSpPr>
      <xdr:spPr>
        <a:xfrm flipV="1">
          <a:off x="1628775" y="416909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284</xdr:row>
      <xdr:rowOff>133350</xdr:rowOff>
    </xdr:from>
    <xdr:to>
      <xdr:col>8</xdr:col>
      <xdr:colOff>76200</xdr:colOff>
      <xdr:row>287</xdr:row>
      <xdr:rowOff>0</xdr:rowOff>
    </xdr:to>
    <xdr:sp>
      <xdr:nvSpPr>
        <xdr:cNvPr id="230" name="Line 970"/>
        <xdr:cNvSpPr>
          <a:spLocks/>
        </xdr:cNvSpPr>
      </xdr:nvSpPr>
      <xdr:spPr>
        <a:xfrm flipV="1">
          <a:off x="1524000" y="41738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285</xdr:row>
      <xdr:rowOff>28575</xdr:rowOff>
    </xdr:from>
    <xdr:to>
      <xdr:col>8</xdr:col>
      <xdr:colOff>0</xdr:colOff>
      <xdr:row>287</xdr:row>
      <xdr:rowOff>9525</xdr:rowOff>
    </xdr:to>
    <xdr:sp>
      <xdr:nvSpPr>
        <xdr:cNvPr id="231" name="Line 971"/>
        <xdr:cNvSpPr>
          <a:spLocks/>
        </xdr:cNvSpPr>
      </xdr:nvSpPr>
      <xdr:spPr>
        <a:xfrm flipV="1">
          <a:off x="1447800" y="417766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285</xdr:row>
      <xdr:rowOff>76200</xdr:rowOff>
    </xdr:from>
    <xdr:to>
      <xdr:col>7</xdr:col>
      <xdr:colOff>85725</xdr:colOff>
      <xdr:row>287</xdr:row>
      <xdr:rowOff>0</xdr:rowOff>
    </xdr:to>
    <xdr:sp>
      <xdr:nvSpPr>
        <xdr:cNvPr id="232" name="Line 972"/>
        <xdr:cNvSpPr>
          <a:spLocks/>
        </xdr:cNvSpPr>
      </xdr:nvSpPr>
      <xdr:spPr>
        <a:xfrm flipV="1">
          <a:off x="1352550" y="41824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114300</xdr:rowOff>
    </xdr:from>
    <xdr:to>
      <xdr:col>7</xdr:col>
      <xdr:colOff>0</xdr:colOff>
      <xdr:row>287</xdr:row>
      <xdr:rowOff>0</xdr:rowOff>
    </xdr:to>
    <xdr:sp>
      <xdr:nvSpPr>
        <xdr:cNvPr id="233" name="Line 973"/>
        <xdr:cNvSpPr>
          <a:spLocks/>
        </xdr:cNvSpPr>
      </xdr:nvSpPr>
      <xdr:spPr>
        <a:xfrm flipV="1">
          <a:off x="1266825" y="41862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286</xdr:row>
      <xdr:rowOff>19050</xdr:rowOff>
    </xdr:from>
    <xdr:to>
      <xdr:col>6</xdr:col>
      <xdr:colOff>85725</xdr:colOff>
      <xdr:row>287</xdr:row>
      <xdr:rowOff>0</xdr:rowOff>
    </xdr:to>
    <xdr:sp>
      <xdr:nvSpPr>
        <xdr:cNvPr id="234" name="Line 974"/>
        <xdr:cNvSpPr>
          <a:spLocks/>
        </xdr:cNvSpPr>
      </xdr:nvSpPr>
      <xdr:spPr>
        <a:xfrm flipV="1">
          <a:off x="1171575" y="41910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286</xdr:row>
      <xdr:rowOff>66675</xdr:rowOff>
    </xdr:from>
    <xdr:to>
      <xdr:col>6</xdr:col>
      <xdr:colOff>0</xdr:colOff>
      <xdr:row>287</xdr:row>
      <xdr:rowOff>0</xdr:rowOff>
    </xdr:to>
    <xdr:sp>
      <xdr:nvSpPr>
        <xdr:cNvPr id="235" name="Line 975"/>
        <xdr:cNvSpPr>
          <a:spLocks/>
        </xdr:cNvSpPr>
      </xdr:nvSpPr>
      <xdr:spPr>
        <a:xfrm flipV="1">
          <a:off x="1085850" y="419576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286</xdr:row>
      <xdr:rowOff>95250</xdr:rowOff>
    </xdr:from>
    <xdr:to>
      <xdr:col>5</xdr:col>
      <xdr:colOff>114300</xdr:colOff>
      <xdr:row>287</xdr:row>
      <xdr:rowOff>0</xdr:rowOff>
    </xdr:to>
    <xdr:sp>
      <xdr:nvSpPr>
        <xdr:cNvPr id="236" name="Line 976"/>
        <xdr:cNvSpPr>
          <a:spLocks/>
        </xdr:cNvSpPr>
      </xdr:nvSpPr>
      <xdr:spPr>
        <a:xfrm flipV="1">
          <a:off x="1019175" y="419862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286</xdr:row>
      <xdr:rowOff>95250</xdr:rowOff>
    </xdr:from>
    <xdr:to>
      <xdr:col>14</xdr:col>
      <xdr:colOff>76200</xdr:colOff>
      <xdr:row>287</xdr:row>
      <xdr:rowOff>0</xdr:rowOff>
    </xdr:to>
    <xdr:sp>
      <xdr:nvSpPr>
        <xdr:cNvPr id="237" name="Line 977"/>
        <xdr:cNvSpPr>
          <a:spLocks/>
        </xdr:cNvSpPr>
      </xdr:nvSpPr>
      <xdr:spPr>
        <a:xfrm flipV="1">
          <a:off x="2609850" y="419862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286</xdr:row>
      <xdr:rowOff>57150</xdr:rowOff>
    </xdr:from>
    <xdr:to>
      <xdr:col>14</xdr:col>
      <xdr:colOff>0</xdr:colOff>
      <xdr:row>287</xdr:row>
      <xdr:rowOff>0</xdr:rowOff>
    </xdr:to>
    <xdr:sp>
      <xdr:nvSpPr>
        <xdr:cNvPr id="238" name="Line 978"/>
        <xdr:cNvSpPr>
          <a:spLocks/>
        </xdr:cNvSpPr>
      </xdr:nvSpPr>
      <xdr:spPr>
        <a:xfrm flipV="1">
          <a:off x="2533650" y="41948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286</xdr:row>
      <xdr:rowOff>19050</xdr:rowOff>
    </xdr:from>
    <xdr:to>
      <xdr:col>13</xdr:col>
      <xdr:colOff>85725</xdr:colOff>
      <xdr:row>287</xdr:row>
      <xdr:rowOff>0</xdr:rowOff>
    </xdr:to>
    <xdr:sp>
      <xdr:nvSpPr>
        <xdr:cNvPr id="239" name="Line 979"/>
        <xdr:cNvSpPr>
          <a:spLocks/>
        </xdr:cNvSpPr>
      </xdr:nvSpPr>
      <xdr:spPr>
        <a:xfrm flipV="1">
          <a:off x="2438400" y="41910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285</xdr:row>
      <xdr:rowOff>114300</xdr:rowOff>
    </xdr:from>
    <xdr:to>
      <xdr:col>13</xdr:col>
      <xdr:colOff>0</xdr:colOff>
      <xdr:row>287</xdr:row>
      <xdr:rowOff>0</xdr:rowOff>
    </xdr:to>
    <xdr:sp>
      <xdr:nvSpPr>
        <xdr:cNvPr id="240" name="Line 980"/>
        <xdr:cNvSpPr>
          <a:spLocks/>
        </xdr:cNvSpPr>
      </xdr:nvSpPr>
      <xdr:spPr>
        <a:xfrm flipV="1">
          <a:off x="2352675" y="41862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285</xdr:row>
      <xdr:rowOff>57150</xdr:rowOff>
    </xdr:from>
    <xdr:to>
      <xdr:col>12</xdr:col>
      <xdr:colOff>85725</xdr:colOff>
      <xdr:row>287</xdr:row>
      <xdr:rowOff>0</xdr:rowOff>
    </xdr:to>
    <xdr:sp>
      <xdr:nvSpPr>
        <xdr:cNvPr id="241" name="Line 981"/>
        <xdr:cNvSpPr>
          <a:spLocks/>
        </xdr:cNvSpPr>
      </xdr:nvSpPr>
      <xdr:spPr>
        <a:xfrm flipV="1">
          <a:off x="2257425" y="41805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285</xdr:row>
      <xdr:rowOff>28575</xdr:rowOff>
    </xdr:from>
    <xdr:to>
      <xdr:col>12</xdr:col>
      <xdr:colOff>0</xdr:colOff>
      <xdr:row>287</xdr:row>
      <xdr:rowOff>0</xdr:rowOff>
    </xdr:to>
    <xdr:sp>
      <xdr:nvSpPr>
        <xdr:cNvPr id="242" name="Line 982"/>
        <xdr:cNvSpPr>
          <a:spLocks/>
        </xdr:cNvSpPr>
      </xdr:nvSpPr>
      <xdr:spPr>
        <a:xfrm flipV="1">
          <a:off x="2171700" y="41776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284</xdr:row>
      <xdr:rowOff>123825</xdr:rowOff>
    </xdr:from>
    <xdr:to>
      <xdr:col>11</xdr:col>
      <xdr:colOff>85725</xdr:colOff>
      <xdr:row>287</xdr:row>
      <xdr:rowOff>0</xdr:rowOff>
    </xdr:to>
    <xdr:sp>
      <xdr:nvSpPr>
        <xdr:cNvPr id="243" name="Line 983"/>
        <xdr:cNvSpPr>
          <a:spLocks/>
        </xdr:cNvSpPr>
      </xdr:nvSpPr>
      <xdr:spPr>
        <a:xfrm flipV="1">
          <a:off x="2076450" y="417290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284</xdr:row>
      <xdr:rowOff>76200</xdr:rowOff>
    </xdr:from>
    <xdr:to>
      <xdr:col>11</xdr:col>
      <xdr:colOff>0</xdr:colOff>
      <xdr:row>287</xdr:row>
      <xdr:rowOff>9525</xdr:rowOff>
    </xdr:to>
    <xdr:sp>
      <xdr:nvSpPr>
        <xdr:cNvPr id="244" name="Line 984"/>
        <xdr:cNvSpPr>
          <a:spLocks/>
        </xdr:cNvSpPr>
      </xdr:nvSpPr>
      <xdr:spPr>
        <a:xfrm flipV="1">
          <a:off x="1990725" y="416814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284</xdr:row>
      <xdr:rowOff>28575</xdr:rowOff>
    </xdr:from>
    <xdr:to>
      <xdr:col>10</xdr:col>
      <xdr:colOff>85725</xdr:colOff>
      <xdr:row>287</xdr:row>
      <xdr:rowOff>0</xdr:rowOff>
    </xdr:to>
    <xdr:sp>
      <xdr:nvSpPr>
        <xdr:cNvPr id="245" name="Line 985"/>
        <xdr:cNvSpPr>
          <a:spLocks/>
        </xdr:cNvSpPr>
      </xdr:nvSpPr>
      <xdr:spPr>
        <a:xfrm flipV="1">
          <a:off x="1895475" y="416337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282</xdr:row>
      <xdr:rowOff>133350</xdr:rowOff>
    </xdr:from>
    <xdr:to>
      <xdr:col>10</xdr:col>
      <xdr:colOff>161925</xdr:colOff>
      <xdr:row>284</xdr:row>
      <xdr:rowOff>95250</xdr:rowOff>
    </xdr:to>
    <xdr:sp>
      <xdr:nvSpPr>
        <xdr:cNvPr id="246" name="Line 986"/>
        <xdr:cNvSpPr>
          <a:spLocks/>
        </xdr:cNvSpPr>
      </xdr:nvSpPr>
      <xdr:spPr>
        <a:xfrm flipV="1">
          <a:off x="1809750" y="41452800"/>
          <a:ext cx="1619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306</xdr:row>
      <xdr:rowOff>66675</xdr:rowOff>
    </xdr:from>
    <xdr:to>
      <xdr:col>4</xdr:col>
      <xdr:colOff>47625</xdr:colOff>
      <xdr:row>308</xdr:row>
      <xdr:rowOff>114300</xdr:rowOff>
    </xdr:to>
    <xdr:sp>
      <xdr:nvSpPr>
        <xdr:cNvPr id="247" name="Arc 988"/>
        <xdr:cNvSpPr>
          <a:spLocks/>
        </xdr:cNvSpPr>
      </xdr:nvSpPr>
      <xdr:spPr>
        <a:xfrm rot="2699122" flipH="1" flipV="1">
          <a:off x="457200" y="44872275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309</xdr:row>
      <xdr:rowOff>66675</xdr:rowOff>
    </xdr:from>
    <xdr:to>
      <xdr:col>5</xdr:col>
      <xdr:colOff>0</xdr:colOff>
      <xdr:row>313</xdr:row>
      <xdr:rowOff>66675</xdr:rowOff>
    </xdr:to>
    <xdr:sp>
      <xdr:nvSpPr>
        <xdr:cNvPr id="248" name="Line 989"/>
        <xdr:cNvSpPr>
          <a:spLocks/>
        </xdr:cNvSpPr>
      </xdr:nvSpPr>
      <xdr:spPr>
        <a:xfrm>
          <a:off x="904875" y="453199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313</xdr:row>
      <xdr:rowOff>0</xdr:rowOff>
    </xdr:from>
    <xdr:to>
      <xdr:col>15</xdr:col>
      <xdr:colOff>76200</xdr:colOff>
      <xdr:row>313</xdr:row>
      <xdr:rowOff>0</xdr:rowOff>
    </xdr:to>
    <xdr:sp>
      <xdr:nvSpPr>
        <xdr:cNvPr id="249" name="Line 990"/>
        <xdr:cNvSpPr>
          <a:spLocks/>
        </xdr:cNvSpPr>
      </xdr:nvSpPr>
      <xdr:spPr>
        <a:xfrm>
          <a:off x="828675" y="458247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309</xdr:row>
      <xdr:rowOff>47625</xdr:rowOff>
    </xdr:from>
    <xdr:to>
      <xdr:col>15</xdr:col>
      <xdr:colOff>0</xdr:colOff>
      <xdr:row>313</xdr:row>
      <xdr:rowOff>76200</xdr:rowOff>
    </xdr:to>
    <xdr:sp>
      <xdr:nvSpPr>
        <xdr:cNvPr id="250" name="Line 991"/>
        <xdr:cNvSpPr>
          <a:spLocks/>
        </xdr:cNvSpPr>
      </xdr:nvSpPr>
      <xdr:spPr>
        <a:xfrm>
          <a:off x="2714625" y="453009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312</xdr:row>
      <xdr:rowOff>104775</xdr:rowOff>
    </xdr:from>
    <xdr:to>
      <xdr:col>5</xdr:col>
      <xdr:colOff>38100</xdr:colOff>
      <xdr:row>313</xdr:row>
      <xdr:rowOff>38100</xdr:rowOff>
    </xdr:to>
    <xdr:sp>
      <xdr:nvSpPr>
        <xdr:cNvPr id="251" name="Line 992"/>
        <xdr:cNvSpPr>
          <a:spLocks/>
        </xdr:cNvSpPr>
      </xdr:nvSpPr>
      <xdr:spPr>
        <a:xfrm flipH="1">
          <a:off x="866775" y="45786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312</xdr:row>
      <xdr:rowOff>114300</xdr:rowOff>
    </xdr:from>
    <xdr:to>
      <xdr:col>15</xdr:col>
      <xdr:colOff>38100</xdr:colOff>
      <xdr:row>313</xdr:row>
      <xdr:rowOff>38100</xdr:rowOff>
    </xdr:to>
    <xdr:sp>
      <xdr:nvSpPr>
        <xdr:cNvPr id="252" name="Line 993"/>
        <xdr:cNvSpPr>
          <a:spLocks/>
        </xdr:cNvSpPr>
      </xdr:nvSpPr>
      <xdr:spPr>
        <a:xfrm flipH="1">
          <a:off x="2686050" y="4579620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306</xdr:row>
      <xdr:rowOff>57150</xdr:rowOff>
    </xdr:from>
    <xdr:to>
      <xdr:col>17</xdr:col>
      <xdr:colOff>76200</xdr:colOff>
      <xdr:row>308</xdr:row>
      <xdr:rowOff>104775</xdr:rowOff>
    </xdr:to>
    <xdr:sp>
      <xdr:nvSpPr>
        <xdr:cNvPr id="253" name="Arc 994"/>
        <xdr:cNvSpPr>
          <a:spLocks/>
        </xdr:cNvSpPr>
      </xdr:nvSpPr>
      <xdr:spPr>
        <a:xfrm rot="12758465" flipH="1" flipV="1">
          <a:off x="2838450" y="44862750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328</xdr:row>
      <xdr:rowOff>19050</xdr:rowOff>
    </xdr:from>
    <xdr:to>
      <xdr:col>10</xdr:col>
      <xdr:colOff>0</xdr:colOff>
      <xdr:row>329</xdr:row>
      <xdr:rowOff>95250</xdr:rowOff>
    </xdr:to>
    <xdr:sp>
      <xdr:nvSpPr>
        <xdr:cNvPr id="254" name="Line 995"/>
        <xdr:cNvSpPr>
          <a:spLocks/>
        </xdr:cNvSpPr>
      </xdr:nvSpPr>
      <xdr:spPr>
        <a:xfrm flipV="1">
          <a:off x="1457325" y="48006000"/>
          <a:ext cx="3524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328</xdr:row>
      <xdr:rowOff>66675</xdr:rowOff>
    </xdr:from>
    <xdr:to>
      <xdr:col>4</xdr:col>
      <xdr:colOff>47625</xdr:colOff>
      <xdr:row>330</xdr:row>
      <xdr:rowOff>114300</xdr:rowOff>
    </xdr:to>
    <xdr:sp>
      <xdr:nvSpPr>
        <xdr:cNvPr id="255" name="Arc 996"/>
        <xdr:cNvSpPr>
          <a:spLocks/>
        </xdr:cNvSpPr>
      </xdr:nvSpPr>
      <xdr:spPr>
        <a:xfrm rot="2699122" flipH="1" flipV="1">
          <a:off x="457200" y="48053625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331</xdr:row>
      <xdr:rowOff>47625</xdr:rowOff>
    </xdr:from>
    <xdr:to>
      <xdr:col>5</xdr:col>
      <xdr:colOff>0</xdr:colOff>
      <xdr:row>333</xdr:row>
      <xdr:rowOff>66675</xdr:rowOff>
    </xdr:to>
    <xdr:sp>
      <xdr:nvSpPr>
        <xdr:cNvPr id="256" name="Line 997"/>
        <xdr:cNvSpPr>
          <a:spLocks/>
        </xdr:cNvSpPr>
      </xdr:nvSpPr>
      <xdr:spPr>
        <a:xfrm>
          <a:off x="904875" y="484822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333</xdr:row>
      <xdr:rowOff>0</xdr:rowOff>
    </xdr:from>
    <xdr:to>
      <xdr:col>15</xdr:col>
      <xdr:colOff>66675</xdr:colOff>
      <xdr:row>333</xdr:row>
      <xdr:rowOff>0</xdr:rowOff>
    </xdr:to>
    <xdr:sp>
      <xdr:nvSpPr>
        <xdr:cNvPr id="257" name="Line 998"/>
        <xdr:cNvSpPr>
          <a:spLocks/>
        </xdr:cNvSpPr>
      </xdr:nvSpPr>
      <xdr:spPr>
        <a:xfrm>
          <a:off x="838200" y="487203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331</xdr:row>
      <xdr:rowOff>28575</xdr:rowOff>
    </xdr:from>
    <xdr:to>
      <xdr:col>15</xdr:col>
      <xdr:colOff>0</xdr:colOff>
      <xdr:row>333</xdr:row>
      <xdr:rowOff>76200</xdr:rowOff>
    </xdr:to>
    <xdr:sp>
      <xdr:nvSpPr>
        <xdr:cNvPr id="258" name="Line 999"/>
        <xdr:cNvSpPr>
          <a:spLocks/>
        </xdr:cNvSpPr>
      </xdr:nvSpPr>
      <xdr:spPr>
        <a:xfrm>
          <a:off x="2714625" y="484632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332</xdr:row>
      <xdr:rowOff>104775</xdr:rowOff>
    </xdr:from>
    <xdr:to>
      <xdr:col>5</xdr:col>
      <xdr:colOff>38100</xdr:colOff>
      <xdr:row>333</xdr:row>
      <xdr:rowOff>38100</xdr:rowOff>
    </xdr:to>
    <xdr:sp>
      <xdr:nvSpPr>
        <xdr:cNvPr id="259" name="Line 1000"/>
        <xdr:cNvSpPr>
          <a:spLocks/>
        </xdr:cNvSpPr>
      </xdr:nvSpPr>
      <xdr:spPr>
        <a:xfrm flipH="1">
          <a:off x="866775" y="48682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332</xdr:row>
      <xdr:rowOff>104775</xdr:rowOff>
    </xdr:from>
    <xdr:to>
      <xdr:col>15</xdr:col>
      <xdr:colOff>47625</xdr:colOff>
      <xdr:row>333</xdr:row>
      <xdr:rowOff>38100</xdr:rowOff>
    </xdr:to>
    <xdr:sp>
      <xdr:nvSpPr>
        <xdr:cNvPr id="260" name="Line 1001"/>
        <xdr:cNvSpPr>
          <a:spLocks/>
        </xdr:cNvSpPr>
      </xdr:nvSpPr>
      <xdr:spPr>
        <a:xfrm flipH="1">
          <a:off x="2686050" y="48682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305</xdr:row>
      <xdr:rowOff>0</xdr:rowOff>
    </xdr:from>
    <xdr:to>
      <xdr:col>10</xdr:col>
      <xdr:colOff>9525</xdr:colOff>
      <xdr:row>308</xdr:row>
      <xdr:rowOff>0</xdr:rowOff>
    </xdr:to>
    <xdr:sp>
      <xdr:nvSpPr>
        <xdr:cNvPr id="261" name="Line 1003"/>
        <xdr:cNvSpPr>
          <a:spLocks/>
        </xdr:cNvSpPr>
      </xdr:nvSpPr>
      <xdr:spPr>
        <a:xfrm>
          <a:off x="1819275" y="44662725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311</xdr:row>
      <xdr:rowOff>0</xdr:rowOff>
    </xdr:from>
    <xdr:to>
      <xdr:col>15</xdr:col>
      <xdr:colOff>76200</xdr:colOff>
      <xdr:row>311</xdr:row>
      <xdr:rowOff>0</xdr:rowOff>
    </xdr:to>
    <xdr:sp>
      <xdr:nvSpPr>
        <xdr:cNvPr id="262" name="Line 1004"/>
        <xdr:cNvSpPr>
          <a:spLocks/>
        </xdr:cNvSpPr>
      </xdr:nvSpPr>
      <xdr:spPr>
        <a:xfrm>
          <a:off x="828675" y="455390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310</xdr:row>
      <xdr:rowOff>114300</xdr:rowOff>
    </xdr:from>
    <xdr:to>
      <xdr:col>5</xdr:col>
      <xdr:colOff>28575</xdr:colOff>
      <xdr:row>311</xdr:row>
      <xdr:rowOff>28575</xdr:rowOff>
    </xdr:to>
    <xdr:sp>
      <xdr:nvSpPr>
        <xdr:cNvPr id="263" name="Line 1005"/>
        <xdr:cNvSpPr>
          <a:spLocks/>
        </xdr:cNvSpPr>
      </xdr:nvSpPr>
      <xdr:spPr>
        <a:xfrm flipH="1">
          <a:off x="866775" y="455104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310</xdr:row>
      <xdr:rowOff>114300</xdr:rowOff>
    </xdr:from>
    <xdr:to>
      <xdr:col>15</xdr:col>
      <xdr:colOff>38100</xdr:colOff>
      <xdr:row>311</xdr:row>
      <xdr:rowOff>28575</xdr:rowOff>
    </xdr:to>
    <xdr:sp>
      <xdr:nvSpPr>
        <xdr:cNvPr id="264" name="Line 1006"/>
        <xdr:cNvSpPr>
          <a:spLocks/>
        </xdr:cNvSpPr>
      </xdr:nvSpPr>
      <xdr:spPr>
        <a:xfrm flipH="1">
          <a:off x="2686050" y="455104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310</xdr:row>
      <xdr:rowOff>123825</xdr:rowOff>
    </xdr:from>
    <xdr:to>
      <xdr:col>10</xdr:col>
      <xdr:colOff>47625</xdr:colOff>
      <xdr:row>311</xdr:row>
      <xdr:rowOff>28575</xdr:rowOff>
    </xdr:to>
    <xdr:sp>
      <xdr:nvSpPr>
        <xdr:cNvPr id="265" name="Line 1007"/>
        <xdr:cNvSpPr>
          <a:spLocks/>
        </xdr:cNvSpPr>
      </xdr:nvSpPr>
      <xdr:spPr>
        <a:xfrm flipH="1">
          <a:off x="1790700" y="45519975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309</xdr:row>
      <xdr:rowOff>0</xdr:rowOff>
    </xdr:from>
    <xdr:to>
      <xdr:col>10</xdr:col>
      <xdr:colOff>9525</xdr:colOff>
      <xdr:row>311</xdr:row>
      <xdr:rowOff>85725</xdr:rowOff>
    </xdr:to>
    <xdr:sp>
      <xdr:nvSpPr>
        <xdr:cNvPr id="266" name="Line 1008"/>
        <xdr:cNvSpPr>
          <a:spLocks/>
        </xdr:cNvSpPr>
      </xdr:nvSpPr>
      <xdr:spPr>
        <a:xfrm>
          <a:off x="1819275" y="452532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313</xdr:row>
      <xdr:rowOff>104775</xdr:rowOff>
    </xdr:from>
    <xdr:to>
      <xdr:col>5</xdr:col>
      <xdr:colOff>0</xdr:colOff>
      <xdr:row>316</xdr:row>
      <xdr:rowOff>38100</xdr:rowOff>
    </xdr:to>
    <xdr:sp>
      <xdr:nvSpPr>
        <xdr:cNvPr id="267" name="Line 1009"/>
        <xdr:cNvSpPr>
          <a:spLocks/>
        </xdr:cNvSpPr>
      </xdr:nvSpPr>
      <xdr:spPr>
        <a:xfrm flipV="1">
          <a:off x="904875" y="45929550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313</xdr:row>
      <xdr:rowOff>104775</xdr:rowOff>
    </xdr:from>
    <xdr:to>
      <xdr:col>15</xdr:col>
      <xdr:colOff>0</xdr:colOff>
      <xdr:row>316</xdr:row>
      <xdr:rowOff>38100</xdr:rowOff>
    </xdr:to>
    <xdr:sp>
      <xdr:nvSpPr>
        <xdr:cNvPr id="268" name="Line 1010"/>
        <xdr:cNvSpPr>
          <a:spLocks/>
        </xdr:cNvSpPr>
      </xdr:nvSpPr>
      <xdr:spPr>
        <a:xfrm flipV="1">
          <a:off x="2714625" y="45929550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317</xdr:row>
      <xdr:rowOff>0</xdr:rowOff>
    </xdr:from>
    <xdr:to>
      <xdr:col>6</xdr:col>
      <xdr:colOff>76200</xdr:colOff>
      <xdr:row>317</xdr:row>
      <xdr:rowOff>0</xdr:rowOff>
    </xdr:to>
    <xdr:sp>
      <xdr:nvSpPr>
        <xdr:cNvPr id="269" name="Line 1011"/>
        <xdr:cNvSpPr>
          <a:spLocks/>
        </xdr:cNvSpPr>
      </xdr:nvSpPr>
      <xdr:spPr>
        <a:xfrm>
          <a:off x="904875" y="463962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316</xdr:row>
      <xdr:rowOff>95250</xdr:rowOff>
    </xdr:from>
    <xdr:to>
      <xdr:col>5</xdr:col>
      <xdr:colOff>0</xdr:colOff>
      <xdr:row>317</xdr:row>
      <xdr:rowOff>47625</xdr:rowOff>
    </xdr:to>
    <xdr:sp>
      <xdr:nvSpPr>
        <xdr:cNvPr id="270" name="Line 1012"/>
        <xdr:cNvSpPr>
          <a:spLocks/>
        </xdr:cNvSpPr>
      </xdr:nvSpPr>
      <xdr:spPr>
        <a:xfrm>
          <a:off x="904875" y="463486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333</xdr:row>
      <xdr:rowOff>104775</xdr:rowOff>
    </xdr:from>
    <xdr:to>
      <xdr:col>5</xdr:col>
      <xdr:colOff>0</xdr:colOff>
      <xdr:row>336</xdr:row>
      <xdr:rowOff>38100</xdr:rowOff>
    </xdr:to>
    <xdr:sp>
      <xdr:nvSpPr>
        <xdr:cNvPr id="271" name="Line 1013"/>
        <xdr:cNvSpPr>
          <a:spLocks/>
        </xdr:cNvSpPr>
      </xdr:nvSpPr>
      <xdr:spPr>
        <a:xfrm flipV="1">
          <a:off x="904875" y="48825150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333</xdr:row>
      <xdr:rowOff>104775</xdr:rowOff>
    </xdr:from>
    <xdr:to>
      <xdr:col>15</xdr:col>
      <xdr:colOff>0</xdr:colOff>
      <xdr:row>336</xdr:row>
      <xdr:rowOff>38100</xdr:rowOff>
    </xdr:to>
    <xdr:sp>
      <xdr:nvSpPr>
        <xdr:cNvPr id="272" name="Line 1014"/>
        <xdr:cNvSpPr>
          <a:spLocks/>
        </xdr:cNvSpPr>
      </xdr:nvSpPr>
      <xdr:spPr>
        <a:xfrm flipV="1">
          <a:off x="2714625" y="48825150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337</xdr:row>
      <xdr:rowOff>0</xdr:rowOff>
    </xdr:from>
    <xdr:to>
      <xdr:col>6</xdr:col>
      <xdr:colOff>76200</xdr:colOff>
      <xdr:row>337</xdr:row>
      <xdr:rowOff>0</xdr:rowOff>
    </xdr:to>
    <xdr:sp>
      <xdr:nvSpPr>
        <xdr:cNvPr id="273" name="Line 1015"/>
        <xdr:cNvSpPr>
          <a:spLocks/>
        </xdr:cNvSpPr>
      </xdr:nvSpPr>
      <xdr:spPr>
        <a:xfrm>
          <a:off x="904875" y="49291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336</xdr:row>
      <xdr:rowOff>95250</xdr:rowOff>
    </xdr:from>
    <xdr:to>
      <xdr:col>5</xdr:col>
      <xdr:colOff>0</xdr:colOff>
      <xdr:row>337</xdr:row>
      <xdr:rowOff>47625</xdr:rowOff>
    </xdr:to>
    <xdr:sp>
      <xdr:nvSpPr>
        <xdr:cNvPr id="274" name="Line 1016"/>
        <xdr:cNvSpPr>
          <a:spLocks/>
        </xdr:cNvSpPr>
      </xdr:nvSpPr>
      <xdr:spPr>
        <a:xfrm>
          <a:off x="904875" y="492442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328</xdr:row>
      <xdr:rowOff>85725</xdr:rowOff>
    </xdr:from>
    <xdr:to>
      <xdr:col>17</xdr:col>
      <xdr:colOff>85725</xdr:colOff>
      <xdr:row>330</xdr:row>
      <xdr:rowOff>133350</xdr:rowOff>
    </xdr:to>
    <xdr:sp>
      <xdr:nvSpPr>
        <xdr:cNvPr id="275" name="Arc 1017"/>
        <xdr:cNvSpPr>
          <a:spLocks/>
        </xdr:cNvSpPr>
      </xdr:nvSpPr>
      <xdr:spPr>
        <a:xfrm rot="12758465" flipH="1" flipV="1">
          <a:off x="2847975" y="48072675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353</xdr:row>
      <xdr:rowOff>9525</xdr:rowOff>
    </xdr:from>
    <xdr:to>
      <xdr:col>5</xdr:col>
      <xdr:colOff>0</xdr:colOff>
      <xdr:row>356</xdr:row>
      <xdr:rowOff>57150</xdr:rowOff>
    </xdr:to>
    <xdr:sp>
      <xdr:nvSpPr>
        <xdr:cNvPr id="276" name="Line 1019"/>
        <xdr:cNvSpPr>
          <a:spLocks/>
        </xdr:cNvSpPr>
      </xdr:nvSpPr>
      <xdr:spPr>
        <a:xfrm>
          <a:off x="904875" y="516255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356</xdr:row>
      <xdr:rowOff>0</xdr:rowOff>
    </xdr:from>
    <xdr:to>
      <xdr:col>15</xdr:col>
      <xdr:colOff>76200</xdr:colOff>
      <xdr:row>356</xdr:row>
      <xdr:rowOff>0</xdr:rowOff>
    </xdr:to>
    <xdr:sp>
      <xdr:nvSpPr>
        <xdr:cNvPr id="277" name="Line 1020"/>
        <xdr:cNvSpPr>
          <a:spLocks/>
        </xdr:cNvSpPr>
      </xdr:nvSpPr>
      <xdr:spPr>
        <a:xfrm>
          <a:off x="838200" y="520446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353</xdr:row>
      <xdr:rowOff>9525</xdr:rowOff>
    </xdr:from>
    <xdr:to>
      <xdr:col>15</xdr:col>
      <xdr:colOff>0</xdr:colOff>
      <xdr:row>356</xdr:row>
      <xdr:rowOff>66675</xdr:rowOff>
    </xdr:to>
    <xdr:sp>
      <xdr:nvSpPr>
        <xdr:cNvPr id="278" name="Line 1021"/>
        <xdr:cNvSpPr>
          <a:spLocks/>
        </xdr:cNvSpPr>
      </xdr:nvSpPr>
      <xdr:spPr>
        <a:xfrm>
          <a:off x="2714625" y="51625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355</xdr:row>
      <xdr:rowOff>114300</xdr:rowOff>
    </xdr:from>
    <xdr:to>
      <xdr:col>5</xdr:col>
      <xdr:colOff>28575</xdr:colOff>
      <xdr:row>356</xdr:row>
      <xdr:rowOff>38100</xdr:rowOff>
    </xdr:to>
    <xdr:sp>
      <xdr:nvSpPr>
        <xdr:cNvPr id="279" name="Line 1022"/>
        <xdr:cNvSpPr>
          <a:spLocks/>
        </xdr:cNvSpPr>
      </xdr:nvSpPr>
      <xdr:spPr>
        <a:xfrm flipH="1">
          <a:off x="866775" y="5201602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355</xdr:row>
      <xdr:rowOff>114300</xdr:rowOff>
    </xdr:from>
    <xdr:to>
      <xdr:col>15</xdr:col>
      <xdr:colOff>28575</xdr:colOff>
      <xdr:row>356</xdr:row>
      <xdr:rowOff>28575</xdr:rowOff>
    </xdr:to>
    <xdr:sp>
      <xdr:nvSpPr>
        <xdr:cNvPr id="280" name="Line 1023"/>
        <xdr:cNvSpPr>
          <a:spLocks/>
        </xdr:cNvSpPr>
      </xdr:nvSpPr>
      <xdr:spPr>
        <a:xfrm flipH="1">
          <a:off x="2686050" y="520160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354</xdr:row>
      <xdr:rowOff>0</xdr:rowOff>
    </xdr:from>
    <xdr:to>
      <xdr:col>15</xdr:col>
      <xdr:colOff>76200</xdr:colOff>
      <xdr:row>354</xdr:row>
      <xdr:rowOff>0</xdr:rowOff>
    </xdr:to>
    <xdr:sp>
      <xdr:nvSpPr>
        <xdr:cNvPr id="281" name="Line 0"/>
        <xdr:cNvSpPr>
          <a:spLocks/>
        </xdr:cNvSpPr>
      </xdr:nvSpPr>
      <xdr:spPr>
        <a:xfrm>
          <a:off x="828675" y="517588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353</xdr:row>
      <xdr:rowOff>114300</xdr:rowOff>
    </xdr:from>
    <xdr:to>
      <xdr:col>5</xdr:col>
      <xdr:colOff>28575</xdr:colOff>
      <xdr:row>354</xdr:row>
      <xdr:rowOff>28575</xdr:rowOff>
    </xdr:to>
    <xdr:sp>
      <xdr:nvSpPr>
        <xdr:cNvPr id="282" name="Line 1"/>
        <xdr:cNvSpPr>
          <a:spLocks/>
        </xdr:cNvSpPr>
      </xdr:nvSpPr>
      <xdr:spPr>
        <a:xfrm flipH="1">
          <a:off x="876300" y="517302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353</xdr:row>
      <xdr:rowOff>114300</xdr:rowOff>
    </xdr:from>
    <xdr:to>
      <xdr:col>15</xdr:col>
      <xdr:colOff>28575</xdr:colOff>
      <xdr:row>354</xdr:row>
      <xdr:rowOff>19050</xdr:rowOff>
    </xdr:to>
    <xdr:sp>
      <xdr:nvSpPr>
        <xdr:cNvPr id="283" name="Line 2"/>
        <xdr:cNvSpPr>
          <a:spLocks/>
        </xdr:cNvSpPr>
      </xdr:nvSpPr>
      <xdr:spPr>
        <a:xfrm flipH="1">
          <a:off x="2686050" y="5173027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353</xdr:row>
      <xdr:rowOff>114300</xdr:rowOff>
    </xdr:from>
    <xdr:to>
      <xdr:col>10</xdr:col>
      <xdr:colOff>38100</xdr:colOff>
      <xdr:row>354</xdr:row>
      <xdr:rowOff>19050</xdr:rowOff>
    </xdr:to>
    <xdr:sp>
      <xdr:nvSpPr>
        <xdr:cNvPr id="284" name="Line 3"/>
        <xdr:cNvSpPr>
          <a:spLocks/>
        </xdr:cNvSpPr>
      </xdr:nvSpPr>
      <xdr:spPr>
        <a:xfrm flipH="1">
          <a:off x="1781175" y="51730275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351</xdr:row>
      <xdr:rowOff>142875</xdr:rowOff>
    </xdr:from>
    <xdr:to>
      <xdr:col>10</xdr:col>
      <xdr:colOff>0</xdr:colOff>
      <xdr:row>354</xdr:row>
      <xdr:rowOff>66675</xdr:rowOff>
    </xdr:to>
    <xdr:sp>
      <xdr:nvSpPr>
        <xdr:cNvPr id="285" name="Line 4"/>
        <xdr:cNvSpPr>
          <a:spLocks/>
        </xdr:cNvSpPr>
      </xdr:nvSpPr>
      <xdr:spPr>
        <a:xfrm>
          <a:off x="1809750" y="514635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356</xdr:row>
      <xdr:rowOff>104775</xdr:rowOff>
    </xdr:from>
    <xdr:to>
      <xdr:col>5</xdr:col>
      <xdr:colOff>0</xdr:colOff>
      <xdr:row>359</xdr:row>
      <xdr:rowOff>38100</xdr:rowOff>
    </xdr:to>
    <xdr:sp>
      <xdr:nvSpPr>
        <xdr:cNvPr id="286" name="Line 5"/>
        <xdr:cNvSpPr>
          <a:spLocks/>
        </xdr:cNvSpPr>
      </xdr:nvSpPr>
      <xdr:spPr>
        <a:xfrm flipV="1">
          <a:off x="904875" y="521493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356</xdr:row>
      <xdr:rowOff>104775</xdr:rowOff>
    </xdr:from>
    <xdr:to>
      <xdr:col>15</xdr:col>
      <xdr:colOff>0</xdr:colOff>
      <xdr:row>359</xdr:row>
      <xdr:rowOff>38100</xdr:rowOff>
    </xdr:to>
    <xdr:sp>
      <xdr:nvSpPr>
        <xdr:cNvPr id="287" name="Line 6"/>
        <xdr:cNvSpPr>
          <a:spLocks/>
        </xdr:cNvSpPr>
      </xdr:nvSpPr>
      <xdr:spPr>
        <a:xfrm flipV="1">
          <a:off x="2714625" y="521493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360</xdr:row>
      <xdr:rowOff>0</xdr:rowOff>
    </xdr:from>
    <xdr:to>
      <xdr:col>6</xdr:col>
      <xdr:colOff>76200</xdr:colOff>
      <xdr:row>360</xdr:row>
      <xdr:rowOff>0</xdr:rowOff>
    </xdr:to>
    <xdr:sp>
      <xdr:nvSpPr>
        <xdr:cNvPr id="288" name="Line 7"/>
        <xdr:cNvSpPr>
          <a:spLocks/>
        </xdr:cNvSpPr>
      </xdr:nvSpPr>
      <xdr:spPr>
        <a:xfrm>
          <a:off x="904875" y="526161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359</xdr:row>
      <xdr:rowOff>95250</xdr:rowOff>
    </xdr:from>
    <xdr:to>
      <xdr:col>5</xdr:col>
      <xdr:colOff>0</xdr:colOff>
      <xdr:row>360</xdr:row>
      <xdr:rowOff>47625</xdr:rowOff>
    </xdr:to>
    <xdr:sp>
      <xdr:nvSpPr>
        <xdr:cNvPr id="289" name="Line 8"/>
        <xdr:cNvSpPr>
          <a:spLocks/>
        </xdr:cNvSpPr>
      </xdr:nvSpPr>
      <xdr:spPr>
        <a:xfrm>
          <a:off x="904875" y="52568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347</xdr:row>
      <xdr:rowOff>133350</xdr:rowOff>
    </xdr:from>
    <xdr:to>
      <xdr:col>10</xdr:col>
      <xdr:colOff>9525</xdr:colOff>
      <xdr:row>351</xdr:row>
      <xdr:rowOff>0</xdr:rowOff>
    </xdr:to>
    <xdr:sp>
      <xdr:nvSpPr>
        <xdr:cNvPr id="290" name="Line 10"/>
        <xdr:cNvSpPr>
          <a:spLocks/>
        </xdr:cNvSpPr>
      </xdr:nvSpPr>
      <xdr:spPr>
        <a:xfrm flipV="1">
          <a:off x="904875" y="50873025"/>
          <a:ext cx="914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347</xdr:row>
      <xdr:rowOff>133350</xdr:rowOff>
    </xdr:from>
    <xdr:to>
      <xdr:col>15</xdr:col>
      <xdr:colOff>9525</xdr:colOff>
      <xdr:row>351</xdr:row>
      <xdr:rowOff>0</xdr:rowOff>
    </xdr:to>
    <xdr:sp>
      <xdr:nvSpPr>
        <xdr:cNvPr id="291" name="Line 11"/>
        <xdr:cNvSpPr>
          <a:spLocks/>
        </xdr:cNvSpPr>
      </xdr:nvSpPr>
      <xdr:spPr>
        <a:xfrm>
          <a:off x="1819275" y="50873025"/>
          <a:ext cx="9048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348</xdr:row>
      <xdr:rowOff>0</xdr:rowOff>
    </xdr:from>
    <xdr:to>
      <xdr:col>10</xdr:col>
      <xdr:colOff>0</xdr:colOff>
      <xdr:row>351</xdr:row>
      <xdr:rowOff>0</xdr:rowOff>
    </xdr:to>
    <xdr:sp>
      <xdr:nvSpPr>
        <xdr:cNvPr id="292" name="Line 12"/>
        <xdr:cNvSpPr>
          <a:spLocks/>
        </xdr:cNvSpPr>
      </xdr:nvSpPr>
      <xdr:spPr>
        <a:xfrm flipV="1">
          <a:off x="1809750" y="508825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348</xdr:row>
      <xdr:rowOff>38100</xdr:rowOff>
    </xdr:from>
    <xdr:to>
      <xdr:col>9</xdr:col>
      <xdr:colOff>85725</xdr:colOff>
      <xdr:row>351</xdr:row>
      <xdr:rowOff>0</xdr:rowOff>
    </xdr:to>
    <xdr:sp>
      <xdr:nvSpPr>
        <xdr:cNvPr id="293" name="Line 13"/>
        <xdr:cNvSpPr>
          <a:spLocks/>
        </xdr:cNvSpPr>
      </xdr:nvSpPr>
      <xdr:spPr>
        <a:xfrm flipV="1">
          <a:off x="1714500" y="509206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348</xdr:row>
      <xdr:rowOff>85725</xdr:rowOff>
    </xdr:from>
    <xdr:to>
      <xdr:col>9</xdr:col>
      <xdr:colOff>0</xdr:colOff>
      <xdr:row>351</xdr:row>
      <xdr:rowOff>0</xdr:rowOff>
    </xdr:to>
    <xdr:sp>
      <xdr:nvSpPr>
        <xdr:cNvPr id="294" name="Line 14"/>
        <xdr:cNvSpPr>
          <a:spLocks/>
        </xdr:cNvSpPr>
      </xdr:nvSpPr>
      <xdr:spPr>
        <a:xfrm flipV="1">
          <a:off x="1628775" y="509682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348</xdr:row>
      <xdr:rowOff>133350</xdr:rowOff>
    </xdr:from>
    <xdr:to>
      <xdr:col>8</xdr:col>
      <xdr:colOff>76200</xdr:colOff>
      <xdr:row>351</xdr:row>
      <xdr:rowOff>0</xdr:rowOff>
    </xdr:to>
    <xdr:sp>
      <xdr:nvSpPr>
        <xdr:cNvPr id="295" name="Line 15"/>
        <xdr:cNvSpPr>
          <a:spLocks/>
        </xdr:cNvSpPr>
      </xdr:nvSpPr>
      <xdr:spPr>
        <a:xfrm flipV="1">
          <a:off x="1524000" y="510159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349</xdr:row>
      <xdr:rowOff>28575</xdr:rowOff>
    </xdr:from>
    <xdr:to>
      <xdr:col>8</xdr:col>
      <xdr:colOff>0</xdr:colOff>
      <xdr:row>351</xdr:row>
      <xdr:rowOff>9525</xdr:rowOff>
    </xdr:to>
    <xdr:sp>
      <xdr:nvSpPr>
        <xdr:cNvPr id="296" name="Line 16"/>
        <xdr:cNvSpPr>
          <a:spLocks/>
        </xdr:cNvSpPr>
      </xdr:nvSpPr>
      <xdr:spPr>
        <a:xfrm flipV="1">
          <a:off x="1447800" y="510540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349</xdr:row>
      <xdr:rowOff>76200</xdr:rowOff>
    </xdr:from>
    <xdr:to>
      <xdr:col>7</xdr:col>
      <xdr:colOff>85725</xdr:colOff>
      <xdr:row>351</xdr:row>
      <xdr:rowOff>0</xdr:rowOff>
    </xdr:to>
    <xdr:sp>
      <xdr:nvSpPr>
        <xdr:cNvPr id="297" name="Line 17"/>
        <xdr:cNvSpPr>
          <a:spLocks/>
        </xdr:cNvSpPr>
      </xdr:nvSpPr>
      <xdr:spPr>
        <a:xfrm flipV="1">
          <a:off x="1352550" y="51101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349</xdr:row>
      <xdr:rowOff>114300</xdr:rowOff>
    </xdr:from>
    <xdr:to>
      <xdr:col>7</xdr:col>
      <xdr:colOff>0</xdr:colOff>
      <xdr:row>351</xdr:row>
      <xdr:rowOff>0</xdr:rowOff>
    </xdr:to>
    <xdr:sp>
      <xdr:nvSpPr>
        <xdr:cNvPr id="298" name="Line 18"/>
        <xdr:cNvSpPr>
          <a:spLocks/>
        </xdr:cNvSpPr>
      </xdr:nvSpPr>
      <xdr:spPr>
        <a:xfrm flipV="1">
          <a:off x="1266825" y="511397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350</xdr:row>
      <xdr:rowOff>19050</xdr:rowOff>
    </xdr:from>
    <xdr:to>
      <xdr:col>6</xdr:col>
      <xdr:colOff>85725</xdr:colOff>
      <xdr:row>351</xdr:row>
      <xdr:rowOff>0</xdr:rowOff>
    </xdr:to>
    <xdr:sp>
      <xdr:nvSpPr>
        <xdr:cNvPr id="299" name="Line 19"/>
        <xdr:cNvSpPr>
          <a:spLocks/>
        </xdr:cNvSpPr>
      </xdr:nvSpPr>
      <xdr:spPr>
        <a:xfrm flipV="1">
          <a:off x="1171575" y="5118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350</xdr:row>
      <xdr:rowOff>66675</xdr:rowOff>
    </xdr:from>
    <xdr:to>
      <xdr:col>6</xdr:col>
      <xdr:colOff>0</xdr:colOff>
      <xdr:row>351</xdr:row>
      <xdr:rowOff>0</xdr:rowOff>
    </xdr:to>
    <xdr:sp>
      <xdr:nvSpPr>
        <xdr:cNvPr id="300" name="Line 20"/>
        <xdr:cNvSpPr>
          <a:spLocks/>
        </xdr:cNvSpPr>
      </xdr:nvSpPr>
      <xdr:spPr>
        <a:xfrm flipV="1">
          <a:off x="1085850" y="51234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350</xdr:row>
      <xdr:rowOff>95250</xdr:rowOff>
    </xdr:from>
    <xdr:to>
      <xdr:col>5</xdr:col>
      <xdr:colOff>114300</xdr:colOff>
      <xdr:row>351</xdr:row>
      <xdr:rowOff>0</xdr:rowOff>
    </xdr:to>
    <xdr:sp>
      <xdr:nvSpPr>
        <xdr:cNvPr id="301" name="Line 21"/>
        <xdr:cNvSpPr>
          <a:spLocks/>
        </xdr:cNvSpPr>
      </xdr:nvSpPr>
      <xdr:spPr>
        <a:xfrm flipV="1">
          <a:off x="1019175" y="512635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350</xdr:row>
      <xdr:rowOff>95250</xdr:rowOff>
    </xdr:from>
    <xdr:to>
      <xdr:col>14</xdr:col>
      <xdr:colOff>76200</xdr:colOff>
      <xdr:row>351</xdr:row>
      <xdr:rowOff>0</xdr:rowOff>
    </xdr:to>
    <xdr:sp>
      <xdr:nvSpPr>
        <xdr:cNvPr id="302" name="Line 22"/>
        <xdr:cNvSpPr>
          <a:spLocks/>
        </xdr:cNvSpPr>
      </xdr:nvSpPr>
      <xdr:spPr>
        <a:xfrm flipV="1">
          <a:off x="2609850" y="512635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350</xdr:row>
      <xdr:rowOff>57150</xdr:rowOff>
    </xdr:from>
    <xdr:to>
      <xdr:col>14</xdr:col>
      <xdr:colOff>0</xdr:colOff>
      <xdr:row>351</xdr:row>
      <xdr:rowOff>0</xdr:rowOff>
    </xdr:to>
    <xdr:sp>
      <xdr:nvSpPr>
        <xdr:cNvPr id="303" name="Line 23"/>
        <xdr:cNvSpPr>
          <a:spLocks/>
        </xdr:cNvSpPr>
      </xdr:nvSpPr>
      <xdr:spPr>
        <a:xfrm flipV="1">
          <a:off x="2533650" y="512254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350</xdr:row>
      <xdr:rowOff>19050</xdr:rowOff>
    </xdr:from>
    <xdr:to>
      <xdr:col>13</xdr:col>
      <xdr:colOff>85725</xdr:colOff>
      <xdr:row>351</xdr:row>
      <xdr:rowOff>0</xdr:rowOff>
    </xdr:to>
    <xdr:sp>
      <xdr:nvSpPr>
        <xdr:cNvPr id="304" name="Line 24"/>
        <xdr:cNvSpPr>
          <a:spLocks/>
        </xdr:cNvSpPr>
      </xdr:nvSpPr>
      <xdr:spPr>
        <a:xfrm flipV="1">
          <a:off x="2438400" y="5118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349</xdr:row>
      <xdr:rowOff>114300</xdr:rowOff>
    </xdr:from>
    <xdr:to>
      <xdr:col>13</xdr:col>
      <xdr:colOff>0</xdr:colOff>
      <xdr:row>351</xdr:row>
      <xdr:rowOff>0</xdr:rowOff>
    </xdr:to>
    <xdr:sp>
      <xdr:nvSpPr>
        <xdr:cNvPr id="305" name="Line 25"/>
        <xdr:cNvSpPr>
          <a:spLocks/>
        </xdr:cNvSpPr>
      </xdr:nvSpPr>
      <xdr:spPr>
        <a:xfrm flipV="1">
          <a:off x="2352675" y="511397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349</xdr:row>
      <xdr:rowOff>57150</xdr:rowOff>
    </xdr:from>
    <xdr:to>
      <xdr:col>12</xdr:col>
      <xdr:colOff>85725</xdr:colOff>
      <xdr:row>351</xdr:row>
      <xdr:rowOff>0</xdr:rowOff>
    </xdr:to>
    <xdr:sp>
      <xdr:nvSpPr>
        <xdr:cNvPr id="306" name="Line 26"/>
        <xdr:cNvSpPr>
          <a:spLocks/>
        </xdr:cNvSpPr>
      </xdr:nvSpPr>
      <xdr:spPr>
        <a:xfrm flipV="1">
          <a:off x="2257425" y="510825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349</xdr:row>
      <xdr:rowOff>28575</xdr:rowOff>
    </xdr:from>
    <xdr:to>
      <xdr:col>12</xdr:col>
      <xdr:colOff>0</xdr:colOff>
      <xdr:row>351</xdr:row>
      <xdr:rowOff>0</xdr:rowOff>
    </xdr:to>
    <xdr:sp>
      <xdr:nvSpPr>
        <xdr:cNvPr id="307" name="Line 27"/>
        <xdr:cNvSpPr>
          <a:spLocks/>
        </xdr:cNvSpPr>
      </xdr:nvSpPr>
      <xdr:spPr>
        <a:xfrm flipV="1">
          <a:off x="2171700" y="51054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348</xdr:row>
      <xdr:rowOff>123825</xdr:rowOff>
    </xdr:from>
    <xdr:to>
      <xdr:col>11</xdr:col>
      <xdr:colOff>85725</xdr:colOff>
      <xdr:row>351</xdr:row>
      <xdr:rowOff>0</xdr:rowOff>
    </xdr:to>
    <xdr:sp>
      <xdr:nvSpPr>
        <xdr:cNvPr id="308" name="Line 28"/>
        <xdr:cNvSpPr>
          <a:spLocks/>
        </xdr:cNvSpPr>
      </xdr:nvSpPr>
      <xdr:spPr>
        <a:xfrm flipV="1">
          <a:off x="2076450" y="51006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348</xdr:row>
      <xdr:rowOff>76200</xdr:rowOff>
    </xdr:from>
    <xdr:to>
      <xdr:col>11</xdr:col>
      <xdr:colOff>0</xdr:colOff>
      <xdr:row>351</xdr:row>
      <xdr:rowOff>9525</xdr:rowOff>
    </xdr:to>
    <xdr:sp>
      <xdr:nvSpPr>
        <xdr:cNvPr id="309" name="Line 29"/>
        <xdr:cNvSpPr>
          <a:spLocks/>
        </xdr:cNvSpPr>
      </xdr:nvSpPr>
      <xdr:spPr>
        <a:xfrm flipV="1">
          <a:off x="1990725" y="509587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348</xdr:row>
      <xdr:rowOff>28575</xdr:rowOff>
    </xdr:from>
    <xdr:to>
      <xdr:col>10</xdr:col>
      <xdr:colOff>85725</xdr:colOff>
      <xdr:row>351</xdr:row>
      <xdr:rowOff>0</xdr:rowOff>
    </xdr:to>
    <xdr:sp>
      <xdr:nvSpPr>
        <xdr:cNvPr id="310" name="Line 30"/>
        <xdr:cNvSpPr>
          <a:spLocks/>
        </xdr:cNvSpPr>
      </xdr:nvSpPr>
      <xdr:spPr>
        <a:xfrm flipV="1">
          <a:off x="1895475" y="509111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346</xdr:row>
      <xdr:rowOff>133350</xdr:rowOff>
    </xdr:from>
    <xdr:to>
      <xdr:col>10</xdr:col>
      <xdr:colOff>161925</xdr:colOff>
      <xdr:row>348</xdr:row>
      <xdr:rowOff>95250</xdr:rowOff>
    </xdr:to>
    <xdr:sp>
      <xdr:nvSpPr>
        <xdr:cNvPr id="311" name="Line 31"/>
        <xdr:cNvSpPr>
          <a:spLocks/>
        </xdr:cNvSpPr>
      </xdr:nvSpPr>
      <xdr:spPr>
        <a:xfrm flipV="1">
          <a:off x="1809750" y="50730150"/>
          <a:ext cx="1619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349</xdr:row>
      <xdr:rowOff>66675</xdr:rowOff>
    </xdr:from>
    <xdr:to>
      <xdr:col>4</xdr:col>
      <xdr:colOff>47625</xdr:colOff>
      <xdr:row>351</xdr:row>
      <xdr:rowOff>114300</xdr:rowOff>
    </xdr:to>
    <xdr:sp>
      <xdr:nvSpPr>
        <xdr:cNvPr id="312" name="Arc 33"/>
        <xdr:cNvSpPr>
          <a:spLocks/>
        </xdr:cNvSpPr>
      </xdr:nvSpPr>
      <xdr:spPr>
        <a:xfrm rot="2699122" flipH="1" flipV="1">
          <a:off x="457200" y="51092100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349</xdr:row>
      <xdr:rowOff>85725</xdr:rowOff>
    </xdr:from>
    <xdr:to>
      <xdr:col>17</xdr:col>
      <xdr:colOff>85725</xdr:colOff>
      <xdr:row>351</xdr:row>
      <xdr:rowOff>133350</xdr:rowOff>
    </xdr:to>
    <xdr:sp>
      <xdr:nvSpPr>
        <xdr:cNvPr id="313" name="Arc 34"/>
        <xdr:cNvSpPr>
          <a:spLocks/>
        </xdr:cNvSpPr>
      </xdr:nvSpPr>
      <xdr:spPr>
        <a:xfrm rot="12758465" flipH="1" flipV="1">
          <a:off x="2847975" y="51111150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373</xdr:row>
      <xdr:rowOff>66675</xdr:rowOff>
    </xdr:from>
    <xdr:to>
      <xdr:col>4</xdr:col>
      <xdr:colOff>47625</xdr:colOff>
      <xdr:row>375</xdr:row>
      <xdr:rowOff>114300</xdr:rowOff>
    </xdr:to>
    <xdr:sp>
      <xdr:nvSpPr>
        <xdr:cNvPr id="314" name="Arc 35"/>
        <xdr:cNvSpPr>
          <a:spLocks/>
        </xdr:cNvSpPr>
      </xdr:nvSpPr>
      <xdr:spPr>
        <a:xfrm rot="2508333" flipH="1" flipV="1">
          <a:off x="457200" y="54559200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376</xdr:row>
      <xdr:rowOff>66675</xdr:rowOff>
    </xdr:from>
    <xdr:to>
      <xdr:col>5</xdr:col>
      <xdr:colOff>0</xdr:colOff>
      <xdr:row>378</xdr:row>
      <xdr:rowOff>66675</xdr:rowOff>
    </xdr:to>
    <xdr:sp>
      <xdr:nvSpPr>
        <xdr:cNvPr id="315" name="Line 36"/>
        <xdr:cNvSpPr>
          <a:spLocks/>
        </xdr:cNvSpPr>
      </xdr:nvSpPr>
      <xdr:spPr>
        <a:xfrm>
          <a:off x="904875" y="55006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378</xdr:row>
      <xdr:rowOff>0</xdr:rowOff>
    </xdr:from>
    <xdr:to>
      <xdr:col>15</xdr:col>
      <xdr:colOff>47625</xdr:colOff>
      <xdr:row>378</xdr:row>
      <xdr:rowOff>0</xdr:rowOff>
    </xdr:to>
    <xdr:sp>
      <xdr:nvSpPr>
        <xdr:cNvPr id="316" name="Line 37"/>
        <xdr:cNvSpPr>
          <a:spLocks/>
        </xdr:cNvSpPr>
      </xdr:nvSpPr>
      <xdr:spPr>
        <a:xfrm>
          <a:off x="838200" y="552259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376</xdr:row>
      <xdr:rowOff>123825</xdr:rowOff>
    </xdr:from>
    <xdr:to>
      <xdr:col>15</xdr:col>
      <xdr:colOff>0</xdr:colOff>
      <xdr:row>378</xdr:row>
      <xdr:rowOff>76200</xdr:rowOff>
    </xdr:to>
    <xdr:sp>
      <xdr:nvSpPr>
        <xdr:cNvPr id="317" name="Line 38"/>
        <xdr:cNvSpPr>
          <a:spLocks/>
        </xdr:cNvSpPr>
      </xdr:nvSpPr>
      <xdr:spPr>
        <a:xfrm>
          <a:off x="2714625" y="55064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377</xdr:row>
      <xdr:rowOff>104775</xdr:rowOff>
    </xdr:from>
    <xdr:to>
      <xdr:col>5</xdr:col>
      <xdr:colOff>28575</xdr:colOff>
      <xdr:row>378</xdr:row>
      <xdr:rowOff>38100</xdr:rowOff>
    </xdr:to>
    <xdr:sp>
      <xdr:nvSpPr>
        <xdr:cNvPr id="318" name="Line 39"/>
        <xdr:cNvSpPr>
          <a:spLocks/>
        </xdr:cNvSpPr>
      </xdr:nvSpPr>
      <xdr:spPr>
        <a:xfrm flipH="1">
          <a:off x="866775" y="55187850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377</xdr:row>
      <xdr:rowOff>114300</xdr:rowOff>
    </xdr:from>
    <xdr:to>
      <xdr:col>15</xdr:col>
      <xdr:colOff>28575</xdr:colOff>
      <xdr:row>378</xdr:row>
      <xdr:rowOff>28575</xdr:rowOff>
    </xdr:to>
    <xdr:sp>
      <xdr:nvSpPr>
        <xdr:cNvPr id="319" name="Line 40"/>
        <xdr:cNvSpPr>
          <a:spLocks/>
        </xdr:cNvSpPr>
      </xdr:nvSpPr>
      <xdr:spPr>
        <a:xfrm flipH="1">
          <a:off x="2676525" y="551973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370</xdr:row>
      <xdr:rowOff>133350</xdr:rowOff>
    </xdr:from>
    <xdr:to>
      <xdr:col>5</xdr:col>
      <xdr:colOff>0</xdr:colOff>
      <xdr:row>374</xdr:row>
      <xdr:rowOff>142875</xdr:rowOff>
    </xdr:to>
    <xdr:sp>
      <xdr:nvSpPr>
        <xdr:cNvPr id="320" name="Line 41"/>
        <xdr:cNvSpPr>
          <a:spLocks/>
        </xdr:cNvSpPr>
      </xdr:nvSpPr>
      <xdr:spPr>
        <a:xfrm flipV="1">
          <a:off x="904875" y="541972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370</xdr:row>
      <xdr:rowOff>133350</xdr:rowOff>
    </xdr:from>
    <xdr:to>
      <xdr:col>15</xdr:col>
      <xdr:colOff>0</xdr:colOff>
      <xdr:row>375</xdr:row>
      <xdr:rowOff>0</xdr:rowOff>
    </xdr:to>
    <xdr:sp>
      <xdr:nvSpPr>
        <xdr:cNvPr id="321" name="Line 42"/>
        <xdr:cNvSpPr>
          <a:spLocks/>
        </xdr:cNvSpPr>
      </xdr:nvSpPr>
      <xdr:spPr>
        <a:xfrm>
          <a:off x="904875" y="54197250"/>
          <a:ext cx="18097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371</xdr:row>
      <xdr:rowOff>114300</xdr:rowOff>
    </xdr:from>
    <xdr:to>
      <xdr:col>7</xdr:col>
      <xdr:colOff>0</xdr:colOff>
      <xdr:row>374</xdr:row>
      <xdr:rowOff>142875</xdr:rowOff>
    </xdr:to>
    <xdr:sp>
      <xdr:nvSpPr>
        <xdr:cNvPr id="322" name="Line 43"/>
        <xdr:cNvSpPr>
          <a:spLocks/>
        </xdr:cNvSpPr>
      </xdr:nvSpPr>
      <xdr:spPr>
        <a:xfrm>
          <a:off x="1266825" y="543210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371</xdr:row>
      <xdr:rowOff>38100</xdr:rowOff>
    </xdr:from>
    <xdr:to>
      <xdr:col>6</xdr:col>
      <xdr:colOff>0</xdr:colOff>
      <xdr:row>374</xdr:row>
      <xdr:rowOff>142875</xdr:rowOff>
    </xdr:to>
    <xdr:sp>
      <xdr:nvSpPr>
        <xdr:cNvPr id="323" name="Line 44"/>
        <xdr:cNvSpPr>
          <a:spLocks/>
        </xdr:cNvSpPr>
      </xdr:nvSpPr>
      <xdr:spPr>
        <a:xfrm>
          <a:off x="1085850" y="542448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372</xdr:row>
      <xdr:rowOff>85725</xdr:rowOff>
    </xdr:from>
    <xdr:to>
      <xdr:col>9</xdr:col>
      <xdr:colOff>0</xdr:colOff>
      <xdr:row>375</xdr:row>
      <xdr:rowOff>0</xdr:rowOff>
    </xdr:to>
    <xdr:sp>
      <xdr:nvSpPr>
        <xdr:cNvPr id="324" name="Line 45"/>
        <xdr:cNvSpPr>
          <a:spLocks/>
        </xdr:cNvSpPr>
      </xdr:nvSpPr>
      <xdr:spPr>
        <a:xfrm>
          <a:off x="1628775" y="544353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373</xdr:row>
      <xdr:rowOff>9525</xdr:rowOff>
    </xdr:from>
    <xdr:to>
      <xdr:col>10</xdr:col>
      <xdr:colOff>0</xdr:colOff>
      <xdr:row>374</xdr:row>
      <xdr:rowOff>142875</xdr:rowOff>
    </xdr:to>
    <xdr:sp>
      <xdr:nvSpPr>
        <xdr:cNvPr id="325" name="Line 46"/>
        <xdr:cNvSpPr>
          <a:spLocks/>
        </xdr:cNvSpPr>
      </xdr:nvSpPr>
      <xdr:spPr>
        <a:xfrm>
          <a:off x="1809750" y="545020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373</xdr:row>
      <xdr:rowOff>66675</xdr:rowOff>
    </xdr:from>
    <xdr:to>
      <xdr:col>11</xdr:col>
      <xdr:colOff>0</xdr:colOff>
      <xdr:row>375</xdr:row>
      <xdr:rowOff>9525</xdr:rowOff>
    </xdr:to>
    <xdr:sp>
      <xdr:nvSpPr>
        <xdr:cNvPr id="326" name="Line 47"/>
        <xdr:cNvSpPr>
          <a:spLocks/>
        </xdr:cNvSpPr>
      </xdr:nvSpPr>
      <xdr:spPr>
        <a:xfrm>
          <a:off x="1990725" y="54559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373</xdr:row>
      <xdr:rowOff>114300</xdr:rowOff>
    </xdr:from>
    <xdr:to>
      <xdr:col>12</xdr:col>
      <xdr:colOff>9525</xdr:colOff>
      <xdr:row>375</xdr:row>
      <xdr:rowOff>0</xdr:rowOff>
    </xdr:to>
    <xdr:sp>
      <xdr:nvSpPr>
        <xdr:cNvPr id="327" name="Line 48"/>
        <xdr:cNvSpPr>
          <a:spLocks/>
        </xdr:cNvSpPr>
      </xdr:nvSpPr>
      <xdr:spPr>
        <a:xfrm>
          <a:off x="2181225" y="54606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374</xdr:row>
      <xdr:rowOff>28575</xdr:rowOff>
    </xdr:from>
    <xdr:to>
      <xdr:col>13</xdr:col>
      <xdr:colOff>0</xdr:colOff>
      <xdr:row>375</xdr:row>
      <xdr:rowOff>9525</xdr:rowOff>
    </xdr:to>
    <xdr:sp>
      <xdr:nvSpPr>
        <xdr:cNvPr id="328" name="Line 49"/>
        <xdr:cNvSpPr>
          <a:spLocks/>
        </xdr:cNvSpPr>
      </xdr:nvSpPr>
      <xdr:spPr>
        <a:xfrm>
          <a:off x="2352675" y="54663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370</xdr:row>
      <xdr:rowOff>19050</xdr:rowOff>
    </xdr:from>
    <xdr:to>
      <xdr:col>9</xdr:col>
      <xdr:colOff>123825</xdr:colOff>
      <xdr:row>371</xdr:row>
      <xdr:rowOff>85725</xdr:rowOff>
    </xdr:to>
    <xdr:sp>
      <xdr:nvSpPr>
        <xdr:cNvPr id="329" name="Line 50"/>
        <xdr:cNvSpPr>
          <a:spLocks/>
        </xdr:cNvSpPr>
      </xdr:nvSpPr>
      <xdr:spPr>
        <a:xfrm flipV="1">
          <a:off x="904875" y="54082950"/>
          <a:ext cx="8477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372</xdr:row>
      <xdr:rowOff>28575</xdr:rowOff>
    </xdr:from>
    <xdr:to>
      <xdr:col>8</xdr:col>
      <xdr:colOff>0</xdr:colOff>
      <xdr:row>375</xdr:row>
      <xdr:rowOff>0</xdr:rowOff>
    </xdr:to>
    <xdr:sp>
      <xdr:nvSpPr>
        <xdr:cNvPr id="330" name="Line 51"/>
        <xdr:cNvSpPr>
          <a:spLocks/>
        </xdr:cNvSpPr>
      </xdr:nvSpPr>
      <xdr:spPr>
        <a:xfrm flipV="1">
          <a:off x="1447800" y="543782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374</xdr:row>
      <xdr:rowOff>95250</xdr:rowOff>
    </xdr:from>
    <xdr:to>
      <xdr:col>14</xdr:col>
      <xdr:colOff>0</xdr:colOff>
      <xdr:row>375</xdr:row>
      <xdr:rowOff>0</xdr:rowOff>
    </xdr:to>
    <xdr:sp>
      <xdr:nvSpPr>
        <xdr:cNvPr id="331" name="Line 52"/>
        <xdr:cNvSpPr>
          <a:spLocks/>
        </xdr:cNvSpPr>
      </xdr:nvSpPr>
      <xdr:spPr>
        <a:xfrm flipV="1">
          <a:off x="2533650" y="547306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371</xdr:row>
      <xdr:rowOff>19050</xdr:rowOff>
    </xdr:from>
    <xdr:to>
      <xdr:col>5</xdr:col>
      <xdr:colOff>85725</xdr:colOff>
      <xdr:row>375</xdr:row>
      <xdr:rowOff>0</xdr:rowOff>
    </xdr:to>
    <xdr:sp>
      <xdr:nvSpPr>
        <xdr:cNvPr id="332" name="Line 53"/>
        <xdr:cNvSpPr>
          <a:spLocks/>
        </xdr:cNvSpPr>
      </xdr:nvSpPr>
      <xdr:spPr>
        <a:xfrm flipV="1">
          <a:off x="990600" y="542258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371</xdr:row>
      <xdr:rowOff>85725</xdr:rowOff>
    </xdr:from>
    <xdr:to>
      <xdr:col>6</xdr:col>
      <xdr:colOff>85725</xdr:colOff>
      <xdr:row>375</xdr:row>
      <xdr:rowOff>0</xdr:rowOff>
    </xdr:to>
    <xdr:sp>
      <xdr:nvSpPr>
        <xdr:cNvPr id="333" name="Line 54"/>
        <xdr:cNvSpPr>
          <a:spLocks/>
        </xdr:cNvSpPr>
      </xdr:nvSpPr>
      <xdr:spPr>
        <a:xfrm flipV="1">
          <a:off x="1171575" y="542925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371</xdr:row>
      <xdr:rowOff>133350</xdr:rowOff>
    </xdr:from>
    <xdr:to>
      <xdr:col>7</xdr:col>
      <xdr:colOff>85725</xdr:colOff>
      <xdr:row>375</xdr:row>
      <xdr:rowOff>0</xdr:rowOff>
    </xdr:to>
    <xdr:sp>
      <xdr:nvSpPr>
        <xdr:cNvPr id="334" name="Line 55"/>
        <xdr:cNvSpPr>
          <a:spLocks/>
        </xdr:cNvSpPr>
      </xdr:nvSpPr>
      <xdr:spPr>
        <a:xfrm flipV="1">
          <a:off x="1352550" y="54340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372</xdr:row>
      <xdr:rowOff>57150</xdr:rowOff>
    </xdr:from>
    <xdr:to>
      <xdr:col>8</xdr:col>
      <xdr:colOff>95250</xdr:colOff>
      <xdr:row>375</xdr:row>
      <xdr:rowOff>0</xdr:rowOff>
    </xdr:to>
    <xdr:sp>
      <xdr:nvSpPr>
        <xdr:cNvPr id="335" name="Line 56"/>
        <xdr:cNvSpPr>
          <a:spLocks/>
        </xdr:cNvSpPr>
      </xdr:nvSpPr>
      <xdr:spPr>
        <a:xfrm flipV="1">
          <a:off x="1543050" y="54406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372</xdr:row>
      <xdr:rowOff>114300</xdr:rowOff>
    </xdr:from>
    <xdr:to>
      <xdr:col>9</xdr:col>
      <xdr:colOff>85725</xdr:colOff>
      <xdr:row>375</xdr:row>
      <xdr:rowOff>0</xdr:rowOff>
    </xdr:to>
    <xdr:sp>
      <xdr:nvSpPr>
        <xdr:cNvPr id="336" name="Line 57"/>
        <xdr:cNvSpPr>
          <a:spLocks/>
        </xdr:cNvSpPr>
      </xdr:nvSpPr>
      <xdr:spPr>
        <a:xfrm flipV="1">
          <a:off x="1714500" y="544639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373</xdr:row>
      <xdr:rowOff>28575</xdr:rowOff>
    </xdr:from>
    <xdr:to>
      <xdr:col>10</xdr:col>
      <xdr:colOff>85725</xdr:colOff>
      <xdr:row>375</xdr:row>
      <xdr:rowOff>0</xdr:rowOff>
    </xdr:to>
    <xdr:sp>
      <xdr:nvSpPr>
        <xdr:cNvPr id="337" name="Line 58"/>
        <xdr:cNvSpPr>
          <a:spLocks/>
        </xdr:cNvSpPr>
      </xdr:nvSpPr>
      <xdr:spPr>
        <a:xfrm flipV="1">
          <a:off x="1895475" y="54521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373</xdr:row>
      <xdr:rowOff>85725</xdr:rowOff>
    </xdr:from>
    <xdr:to>
      <xdr:col>11</xdr:col>
      <xdr:colOff>95250</xdr:colOff>
      <xdr:row>375</xdr:row>
      <xdr:rowOff>0</xdr:rowOff>
    </xdr:to>
    <xdr:sp>
      <xdr:nvSpPr>
        <xdr:cNvPr id="338" name="Line 59"/>
        <xdr:cNvSpPr>
          <a:spLocks/>
        </xdr:cNvSpPr>
      </xdr:nvSpPr>
      <xdr:spPr>
        <a:xfrm flipV="1">
          <a:off x="2085975" y="545782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374</xdr:row>
      <xdr:rowOff>9525</xdr:rowOff>
    </xdr:from>
    <xdr:to>
      <xdr:col>12</xdr:col>
      <xdr:colOff>95250</xdr:colOff>
      <xdr:row>375</xdr:row>
      <xdr:rowOff>0</xdr:rowOff>
    </xdr:to>
    <xdr:sp>
      <xdr:nvSpPr>
        <xdr:cNvPr id="339" name="Line 60"/>
        <xdr:cNvSpPr>
          <a:spLocks/>
        </xdr:cNvSpPr>
      </xdr:nvSpPr>
      <xdr:spPr>
        <a:xfrm flipV="1">
          <a:off x="2266950" y="546449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374</xdr:row>
      <xdr:rowOff>66675</xdr:rowOff>
    </xdr:from>
    <xdr:to>
      <xdr:col>13</xdr:col>
      <xdr:colOff>95250</xdr:colOff>
      <xdr:row>375</xdr:row>
      <xdr:rowOff>0</xdr:rowOff>
    </xdr:to>
    <xdr:sp>
      <xdr:nvSpPr>
        <xdr:cNvPr id="340" name="Line 61"/>
        <xdr:cNvSpPr>
          <a:spLocks/>
        </xdr:cNvSpPr>
      </xdr:nvSpPr>
      <xdr:spPr>
        <a:xfrm flipV="1">
          <a:off x="2447925" y="547020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378</xdr:row>
      <xdr:rowOff>123825</xdr:rowOff>
    </xdr:from>
    <xdr:to>
      <xdr:col>5</xdr:col>
      <xdr:colOff>0</xdr:colOff>
      <xdr:row>381</xdr:row>
      <xdr:rowOff>57150</xdr:rowOff>
    </xdr:to>
    <xdr:sp>
      <xdr:nvSpPr>
        <xdr:cNvPr id="341" name="Line 62"/>
        <xdr:cNvSpPr>
          <a:spLocks/>
        </xdr:cNvSpPr>
      </xdr:nvSpPr>
      <xdr:spPr>
        <a:xfrm flipV="1">
          <a:off x="904875" y="553497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378</xdr:row>
      <xdr:rowOff>123825</xdr:rowOff>
    </xdr:from>
    <xdr:to>
      <xdr:col>15</xdr:col>
      <xdr:colOff>0</xdr:colOff>
      <xdr:row>381</xdr:row>
      <xdr:rowOff>57150</xdr:rowOff>
    </xdr:to>
    <xdr:sp>
      <xdr:nvSpPr>
        <xdr:cNvPr id="342" name="Line 63"/>
        <xdr:cNvSpPr>
          <a:spLocks/>
        </xdr:cNvSpPr>
      </xdr:nvSpPr>
      <xdr:spPr>
        <a:xfrm flipV="1">
          <a:off x="2714625" y="553497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382</xdr:row>
      <xdr:rowOff>0</xdr:rowOff>
    </xdr:from>
    <xdr:to>
      <xdr:col>6</xdr:col>
      <xdr:colOff>76200</xdr:colOff>
      <xdr:row>382</xdr:row>
      <xdr:rowOff>0</xdr:rowOff>
    </xdr:to>
    <xdr:sp>
      <xdr:nvSpPr>
        <xdr:cNvPr id="343" name="Line 64"/>
        <xdr:cNvSpPr>
          <a:spLocks/>
        </xdr:cNvSpPr>
      </xdr:nvSpPr>
      <xdr:spPr>
        <a:xfrm>
          <a:off x="904875" y="55797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381</xdr:row>
      <xdr:rowOff>95250</xdr:rowOff>
    </xdr:from>
    <xdr:to>
      <xdr:col>5</xdr:col>
      <xdr:colOff>0</xdr:colOff>
      <xdr:row>382</xdr:row>
      <xdr:rowOff>47625</xdr:rowOff>
    </xdr:to>
    <xdr:sp>
      <xdr:nvSpPr>
        <xdr:cNvPr id="344" name="Line 65"/>
        <xdr:cNvSpPr>
          <a:spLocks/>
        </xdr:cNvSpPr>
      </xdr:nvSpPr>
      <xdr:spPr>
        <a:xfrm>
          <a:off x="904875" y="557498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373</xdr:row>
      <xdr:rowOff>85725</xdr:rowOff>
    </xdr:from>
    <xdr:to>
      <xdr:col>17</xdr:col>
      <xdr:colOff>85725</xdr:colOff>
      <xdr:row>375</xdr:row>
      <xdr:rowOff>133350</xdr:rowOff>
    </xdr:to>
    <xdr:sp>
      <xdr:nvSpPr>
        <xdr:cNvPr id="345" name="Arc 66"/>
        <xdr:cNvSpPr>
          <a:spLocks/>
        </xdr:cNvSpPr>
      </xdr:nvSpPr>
      <xdr:spPr>
        <a:xfrm rot="12758465" flipH="1" flipV="1">
          <a:off x="2847975" y="54578250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398</xdr:row>
      <xdr:rowOff>9525</xdr:rowOff>
    </xdr:from>
    <xdr:to>
      <xdr:col>15</xdr:col>
      <xdr:colOff>104775</xdr:colOff>
      <xdr:row>398</xdr:row>
      <xdr:rowOff>123825</xdr:rowOff>
    </xdr:to>
    <xdr:sp>
      <xdr:nvSpPr>
        <xdr:cNvPr id="346" name="AutoShape 67"/>
        <xdr:cNvSpPr>
          <a:spLocks/>
        </xdr:cNvSpPr>
      </xdr:nvSpPr>
      <xdr:spPr>
        <a:xfrm>
          <a:off x="2628900" y="58121550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400</xdr:row>
      <xdr:rowOff>38100</xdr:rowOff>
    </xdr:from>
    <xdr:to>
      <xdr:col>5</xdr:col>
      <xdr:colOff>0</xdr:colOff>
      <xdr:row>401</xdr:row>
      <xdr:rowOff>66675</xdr:rowOff>
    </xdr:to>
    <xdr:sp>
      <xdr:nvSpPr>
        <xdr:cNvPr id="347" name="Line 68"/>
        <xdr:cNvSpPr>
          <a:spLocks/>
        </xdr:cNvSpPr>
      </xdr:nvSpPr>
      <xdr:spPr>
        <a:xfrm>
          <a:off x="904875" y="584644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400</xdr:row>
      <xdr:rowOff>19050</xdr:rowOff>
    </xdr:from>
    <xdr:to>
      <xdr:col>15</xdr:col>
      <xdr:colOff>0</xdr:colOff>
      <xdr:row>401</xdr:row>
      <xdr:rowOff>66675</xdr:rowOff>
    </xdr:to>
    <xdr:sp>
      <xdr:nvSpPr>
        <xdr:cNvPr id="348" name="Line 70"/>
        <xdr:cNvSpPr>
          <a:spLocks/>
        </xdr:cNvSpPr>
      </xdr:nvSpPr>
      <xdr:spPr>
        <a:xfrm>
          <a:off x="2714625" y="58445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401</xdr:row>
      <xdr:rowOff>0</xdr:rowOff>
    </xdr:from>
    <xdr:to>
      <xdr:col>19</xdr:col>
      <xdr:colOff>47625</xdr:colOff>
      <xdr:row>401</xdr:row>
      <xdr:rowOff>0</xdr:rowOff>
    </xdr:to>
    <xdr:sp>
      <xdr:nvSpPr>
        <xdr:cNvPr id="349" name="Line 73"/>
        <xdr:cNvSpPr>
          <a:spLocks/>
        </xdr:cNvSpPr>
      </xdr:nvSpPr>
      <xdr:spPr>
        <a:xfrm>
          <a:off x="828675" y="585692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400</xdr:row>
      <xdr:rowOff>114300</xdr:rowOff>
    </xdr:from>
    <xdr:to>
      <xdr:col>5</xdr:col>
      <xdr:colOff>38100</xdr:colOff>
      <xdr:row>401</xdr:row>
      <xdr:rowOff>28575</xdr:rowOff>
    </xdr:to>
    <xdr:sp>
      <xdr:nvSpPr>
        <xdr:cNvPr id="350" name="Line 74"/>
        <xdr:cNvSpPr>
          <a:spLocks/>
        </xdr:cNvSpPr>
      </xdr:nvSpPr>
      <xdr:spPr>
        <a:xfrm flipH="1">
          <a:off x="866775" y="58540650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400</xdr:row>
      <xdr:rowOff>114300</xdr:rowOff>
    </xdr:from>
    <xdr:to>
      <xdr:col>15</xdr:col>
      <xdr:colOff>38100</xdr:colOff>
      <xdr:row>401</xdr:row>
      <xdr:rowOff>28575</xdr:rowOff>
    </xdr:to>
    <xdr:sp>
      <xdr:nvSpPr>
        <xdr:cNvPr id="351" name="Line 75"/>
        <xdr:cNvSpPr>
          <a:spLocks/>
        </xdr:cNvSpPr>
      </xdr:nvSpPr>
      <xdr:spPr>
        <a:xfrm flipH="1">
          <a:off x="2686050" y="585406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400</xdr:row>
      <xdr:rowOff>104775</xdr:rowOff>
    </xdr:from>
    <xdr:to>
      <xdr:col>19</xdr:col>
      <xdr:colOff>28575</xdr:colOff>
      <xdr:row>401</xdr:row>
      <xdr:rowOff>28575</xdr:rowOff>
    </xdr:to>
    <xdr:sp>
      <xdr:nvSpPr>
        <xdr:cNvPr id="352" name="Line 76"/>
        <xdr:cNvSpPr>
          <a:spLocks/>
        </xdr:cNvSpPr>
      </xdr:nvSpPr>
      <xdr:spPr>
        <a:xfrm flipH="1">
          <a:off x="3409950" y="5853112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399</xdr:row>
      <xdr:rowOff>0</xdr:rowOff>
    </xdr:from>
    <xdr:to>
      <xdr:col>19</xdr:col>
      <xdr:colOff>0</xdr:colOff>
      <xdr:row>401</xdr:row>
      <xdr:rowOff>66675</xdr:rowOff>
    </xdr:to>
    <xdr:sp>
      <xdr:nvSpPr>
        <xdr:cNvPr id="353" name="Line 77"/>
        <xdr:cNvSpPr>
          <a:spLocks/>
        </xdr:cNvSpPr>
      </xdr:nvSpPr>
      <xdr:spPr>
        <a:xfrm>
          <a:off x="3438525" y="582739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424</xdr:row>
      <xdr:rowOff>114300</xdr:rowOff>
    </xdr:from>
    <xdr:to>
      <xdr:col>5</xdr:col>
      <xdr:colOff>9525</xdr:colOff>
      <xdr:row>427</xdr:row>
      <xdr:rowOff>38100</xdr:rowOff>
    </xdr:to>
    <xdr:sp>
      <xdr:nvSpPr>
        <xdr:cNvPr id="354" name="Line 79"/>
        <xdr:cNvSpPr>
          <a:spLocks/>
        </xdr:cNvSpPr>
      </xdr:nvSpPr>
      <xdr:spPr>
        <a:xfrm flipV="1">
          <a:off x="914400" y="62026800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401</xdr:row>
      <xdr:rowOff>114300</xdr:rowOff>
    </xdr:from>
    <xdr:to>
      <xdr:col>15</xdr:col>
      <xdr:colOff>0</xdr:colOff>
      <xdr:row>404</xdr:row>
      <xdr:rowOff>0</xdr:rowOff>
    </xdr:to>
    <xdr:sp>
      <xdr:nvSpPr>
        <xdr:cNvPr id="355" name="Line 80"/>
        <xdr:cNvSpPr>
          <a:spLocks/>
        </xdr:cNvSpPr>
      </xdr:nvSpPr>
      <xdr:spPr>
        <a:xfrm flipV="1">
          <a:off x="2714625" y="58683525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405</xdr:row>
      <xdr:rowOff>0</xdr:rowOff>
    </xdr:from>
    <xdr:to>
      <xdr:col>6</xdr:col>
      <xdr:colOff>76200</xdr:colOff>
      <xdr:row>405</xdr:row>
      <xdr:rowOff>0</xdr:rowOff>
    </xdr:to>
    <xdr:sp>
      <xdr:nvSpPr>
        <xdr:cNvPr id="356" name="Line 81"/>
        <xdr:cNvSpPr>
          <a:spLocks/>
        </xdr:cNvSpPr>
      </xdr:nvSpPr>
      <xdr:spPr>
        <a:xfrm>
          <a:off x="904875" y="59140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404</xdr:row>
      <xdr:rowOff>95250</xdr:rowOff>
    </xdr:from>
    <xdr:to>
      <xdr:col>5</xdr:col>
      <xdr:colOff>0</xdr:colOff>
      <xdr:row>405</xdr:row>
      <xdr:rowOff>47625</xdr:rowOff>
    </xdr:to>
    <xdr:sp>
      <xdr:nvSpPr>
        <xdr:cNvPr id="357" name="Line 82"/>
        <xdr:cNvSpPr>
          <a:spLocks/>
        </xdr:cNvSpPr>
      </xdr:nvSpPr>
      <xdr:spPr>
        <a:xfrm>
          <a:off x="904875" y="59093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398</xdr:row>
      <xdr:rowOff>0</xdr:rowOff>
    </xdr:from>
    <xdr:to>
      <xdr:col>5</xdr:col>
      <xdr:colOff>85725</xdr:colOff>
      <xdr:row>399</xdr:row>
      <xdr:rowOff>0</xdr:rowOff>
    </xdr:to>
    <xdr:sp>
      <xdr:nvSpPr>
        <xdr:cNvPr id="358" name="AutoShape 83"/>
        <xdr:cNvSpPr>
          <a:spLocks/>
        </xdr:cNvSpPr>
      </xdr:nvSpPr>
      <xdr:spPr>
        <a:xfrm>
          <a:off x="819150" y="58112025"/>
          <a:ext cx="171450" cy="161925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421</xdr:row>
      <xdr:rowOff>9525</xdr:rowOff>
    </xdr:from>
    <xdr:to>
      <xdr:col>15</xdr:col>
      <xdr:colOff>104775</xdr:colOff>
      <xdr:row>421</xdr:row>
      <xdr:rowOff>123825</xdr:rowOff>
    </xdr:to>
    <xdr:sp>
      <xdr:nvSpPr>
        <xdr:cNvPr id="359" name="AutoShape 84"/>
        <xdr:cNvSpPr>
          <a:spLocks/>
        </xdr:cNvSpPr>
      </xdr:nvSpPr>
      <xdr:spPr>
        <a:xfrm>
          <a:off x="2628900" y="61464825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423</xdr:row>
      <xdr:rowOff>38100</xdr:rowOff>
    </xdr:from>
    <xdr:to>
      <xdr:col>5</xdr:col>
      <xdr:colOff>0</xdr:colOff>
      <xdr:row>424</xdr:row>
      <xdr:rowOff>66675</xdr:rowOff>
    </xdr:to>
    <xdr:sp>
      <xdr:nvSpPr>
        <xdr:cNvPr id="360" name="Line 85"/>
        <xdr:cNvSpPr>
          <a:spLocks/>
        </xdr:cNvSpPr>
      </xdr:nvSpPr>
      <xdr:spPr>
        <a:xfrm>
          <a:off x="904875" y="61807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423</xdr:row>
      <xdr:rowOff>19050</xdr:rowOff>
    </xdr:from>
    <xdr:to>
      <xdr:col>15</xdr:col>
      <xdr:colOff>0</xdr:colOff>
      <xdr:row>424</xdr:row>
      <xdr:rowOff>66675</xdr:rowOff>
    </xdr:to>
    <xdr:sp>
      <xdr:nvSpPr>
        <xdr:cNvPr id="361" name="Line 86"/>
        <xdr:cNvSpPr>
          <a:spLocks/>
        </xdr:cNvSpPr>
      </xdr:nvSpPr>
      <xdr:spPr>
        <a:xfrm>
          <a:off x="2714625" y="617886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424</xdr:row>
      <xdr:rowOff>0</xdr:rowOff>
    </xdr:from>
    <xdr:to>
      <xdr:col>19</xdr:col>
      <xdr:colOff>47625</xdr:colOff>
      <xdr:row>424</xdr:row>
      <xdr:rowOff>0</xdr:rowOff>
    </xdr:to>
    <xdr:sp>
      <xdr:nvSpPr>
        <xdr:cNvPr id="362" name="Line 87"/>
        <xdr:cNvSpPr>
          <a:spLocks/>
        </xdr:cNvSpPr>
      </xdr:nvSpPr>
      <xdr:spPr>
        <a:xfrm>
          <a:off x="828675" y="619125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423</xdr:row>
      <xdr:rowOff>114300</xdr:rowOff>
    </xdr:from>
    <xdr:to>
      <xdr:col>5</xdr:col>
      <xdr:colOff>38100</xdr:colOff>
      <xdr:row>424</xdr:row>
      <xdr:rowOff>28575</xdr:rowOff>
    </xdr:to>
    <xdr:sp>
      <xdr:nvSpPr>
        <xdr:cNvPr id="363" name="Line 88"/>
        <xdr:cNvSpPr>
          <a:spLocks/>
        </xdr:cNvSpPr>
      </xdr:nvSpPr>
      <xdr:spPr>
        <a:xfrm flipH="1">
          <a:off x="866775" y="61883925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423</xdr:row>
      <xdr:rowOff>114300</xdr:rowOff>
    </xdr:from>
    <xdr:to>
      <xdr:col>15</xdr:col>
      <xdr:colOff>38100</xdr:colOff>
      <xdr:row>424</xdr:row>
      <xdr:rowOff>28575</xdr:rowOff>
    </xdr:to>
    <xdr:sp>
      <xdr:nvSpPr>
        <xdr:cNvPr id="364" name="Line 89"/>
        <xdr:cNvSpPr>
          <a:spLocks/>
        </xdr:cNvSpPr>
      </xdr:nvSpPr>
      <xdr:spPr>
        <a:xfrm flipH="1">
          <a:off x="2686050" y="618839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423</xdr:row>
      <xdr:rowOff>104775</xdr:rowOff>
    </xdr:from>
    <xdr:to>
      <xdr:col>19</xdr:col>
      <xdr:colOff>28575</xdr:colOff>
      <xdr:row>424</xdr:row>
      <xdr:rowOff>28575</xdr:rowOff>
    </xdr:to>
    <xdr:sp>
      <xdr:nvSpPr>
        <xdr:cNvPr id="365" name="Line 90"/>
        <xdr:cNvSpPr>
          <a:spLocks/>
        </xdr:cNvSpPr>
      </xdr:nvSpPr>
      <xdr:spPr>
        <a:xfrm flipH="1">
          <a:off x="3409950" y="6187440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422</xdr:row>
      <xdr:rowOff>0</xdr:rowOff>
    </xdr:from>
    <xdr:to>
      <xdr:col>19</xdr:col>
      <xdr:colOff>0</xdr:colOff>
      <xdr:row>424</xdr:row>
      <xdr:rowOff>66675</xdr:rowOff>
    </xdr:to>
    <xdr:sp>
      <xdr:nvSpPr>
        <xdr:cNvPr id="366" name="Line 91"/>
        <xdr:cNvSpPr>
          <a:spLocks/>
        </xdr:cNvSpPr>
      </xdr:nvSpPr>
      <xdr:spPr>
        <a:xfrm>
          <a:off x="3438525" y="616172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395</xdr:row>
      <xdr:rowOff>19050</xdr:rowOff>
    </xdr:from>
    <xdr:to>
      <xdr:col>18</xdr:col>
      <xdr:colOff>171450</xdr:colOff>
      <xdr:row>398</xdr:row>
      <xdr:rowOff>0</xdr:rowOff>
    </xdr:to>
    <xdr:sp>
      <xdr:nvSpPr>
        <xdr:cNvPr id="367" name="Line 92"/>
        <xdr:cNvSpPr>
          <a:spLocks/>
        </xdr:cNvSpPr>
      </xdr:nvSpPr>
      <xdr:spPr>
        <a:xfrm>
          <a:off x="3429000" y="57692925"/>
          <a:ext cx="0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401</xdr:row>
      <xdr:rowOff>114300</xdr:rowOff>
    </xdr:from>
    <xdr:to>
      <xdr:col>4</xdr:col>
      <xdr:colOff>171450</xdr:colOff>
      <xdr:row>404</xdr:row>
      <xdr:rowOff>38100</xdr:rowOff>
    </xdr:to>
    <xdr:sp>
      <xdr:nvSpPr>
        <xdr:cNvPr id="368" name="Line 93"/>
        <xdr:cNvSpPr>
          <a:spLocks/>
        </xdr:cNvSpPr>
      </xdr:nvSpPr>
      <xdr:spPr>
        <a:xfrm flipV="1">
          <a:off x="895350" y="58683525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424</xdr:row>
      <xdr:rowOff>114300</xdr:rowOff>
    </xdr:from>
    <xdr:to>
      <xdr:col>15</xdr:col>
      <xdr:colOff>0</xdr:colOff>
      <xdr:row>427</xdr:row>
      <xdr:rowOff>0</xdr:rowOff>
    </xdr:to>
    <xdr:sp>
      <xdr:nvSpPr>
        <xdr:cNvPr id="369" name="Line 94"/>
        <xdr:cNvSpPr>
          <a:spLocks/>
        </xdr:cNvSpPr>
      </xdr:nvSpPr>
      <xdr:spPr>
        <a:xfrm flipV="1">
          <a:off x="2714625" y="6202680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428</xdr:row>
      <xdr:rowOff>0</xdr:rowOff>
    </xdr:from>
    <xdr:to>
      <xdr:col>6</xdr:col>
      <xdr:colOff>76200</xdr:colOff>
      <xdr:row>428</xdr:row>
      <xdr:rowOff>0</xdr:rowOff>
    </xdr:to>
    <xdr:sp>
      <xdr:nvSpPr>
        <xdr:cNvPr id="370" name="Line 95"/>
        <xdr:cNvSpPr>
          <a:spLocks/>
        </xdr:cNvSpPr>
      </xdr:nvSpPr>
      <xdr:spPr>
        <a:xfrm>
          <a:off x="904875" y="62484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427</xdr:row>
      <xdr:rowOff>95250</xdr:rowOff>
    </xdr:from>
    <xdr:to>
      <xdr:col>5</xdr:col>
      <xdr:colOff>0</xdr:colOff>
      <xdr:row>428</xdr:row>
      <xdr:rowOff>47625</xdr:rowOff>
    </xdr:to>
    <xdr:sp>
      <xdr:nvSpPr>
        <xdr:cNvPr id="371" name="Line 96"/>
        <xdr:cNvSpPr>
          <a:spLocks/>
        </xdr:cNvSpPr>
      </xdr:nvSpPr>
      <xdr:spPr>
        <a:xfrm>
          <a:off x="904875" y="624363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421</xdr:row>
      <xdr:rowOff>0</xdr:rowOff>
    </xdr:from>
    <xdr:to>
      <xdr:col>5</xdr:col>
      <xdr:colOff>85725</xdr:colOff>
      <xdr:row>422</xdr:row>
      <xdr:rowOff>0</xdr:rowOff>
    </xdr:to>
    <xdr:sp>
      <xdr:nvSpPr>
        <xdr:cNvPr id="372" name="AutoShape 97"/>
        <xdr:cNvSpPr>
          <a:spLocks/>
        </xdr:cNvSpPr>
      </xdr:nvSpPr>
      <xdr:spPr>
        <a:xfrm>
          <a:off x="819150" y="61455300"/>
          <a:ext cx="171450" cy="161925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418</xdr:row>
      <xdr:rowOff>38100</xdr:rowOff>
    </xdr:from>
    <xdr:to>
      <xdr:col>12</xdr:col>
      <xdr:colOff>66675</xdr:colOff>
      <xdr:row>420</xdr:row>
      <xdr:rowOff>76200</xdr:rowOff>
    </xdr:to>
    <xdr:sp>
      <xdr:nvSpPr>
        <xdr:cNvPr id="373" name="Line 98"/>
        <xdr:cNvSpPr>
          <a:spLocks/>
        </xdr:cNvSpPr>
      </xdr:nvSpPr>
      <xdr:spPr>
        <a:xfrm flipH="1" flipV="1">
          <a:off x="2066925" y="61055250"/>
          <a:ext cx="171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473</xdr:row>
      <xdr:rowOff>9525</xdr:rowOff>
    </xdr:from>
    <xdr:to>
      <xdr:col>20</xdr:col>
      <xdr:colOff>104775</xdr:colOff>
      <xdr:row>473</xdr:row>
      <xdr:rowOff>123825</xdr:rowOff>
    </xdr:to>
    <xdr:sp>
      <xdr:nvSpPr>
        <xdr:cNvPr id="374" name="AutoShape 99"/>
        <xdr:cNvSpPr>
          <a:spLocks/>
        </xdr:cNvSpPr>
      </xdr:nvSpPr>
      <xdr:spPr>
        <a:xfrm>
          <a:off x="3533775" y="69008625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475</xdr:row>
      <xdr:rowOff>38100</xdr:rowOff>
    </xdr:from>
    <xdr:to>
      <xdr:col>10</xdr:col>
      <xdr:colOff>0</xdr:colOff>
      <xdr:row>476</xdr:row>
      <xdr:rowOff>66675</xdr:rowOff>
    </xdr:to>
    <xdr:sp>
      <xdr:nvSpPr>
        <xdr:cNvPr id="375" name="Line 100"/>
        <xdr:cNvSpPr>
          <a:spLocks/>
        </xdr:cNvSpPr>
      </xdr:nvSpPr>
      <xdr:spPr>
        <a:xfrm>
          <a:off x="1809750" y="69351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475</xdr:row>
      <xdr:rowOff>19050</xdr:rowOff>
    </xdr:from>
    <xdr:to>
      <xdr:col>20</xdr:col>
      <xdr:colOff>0</xdr:colOff>
      <xdr:row>476</xdr:row>
      <xdr:rowOff>66675</xdr:rowOff>
    </xdr:to>
    <xdr:sp>
      <xdr:nvSpPr>
        <xdr:cNvPr id="376" name="Line 101"/>
        <xdr:cNvSpPr>
          <a:spLocks/>
        </xdr:cNvSpPr>
      </xdr:nvSpPr>
      <xdr:spPr>
        <a:xfrm>
          <a:off x="3619500" y="69332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476</xdr:row>
      <xdr:rowOff>0</xdr:rowOff>
    </xdr:from>
    <xdr:to>
      <xdr:col>24</xdr:col>
      <xdr:colOff>47625</xdr:colOff>
      <xdr:row>476</xdr:row>
      <xdr:rowOff>0</xdr:rowOff>
    </xdr:to>
    <xdr:sp>
      <xdr:nvSpPr>
        <xdr:cNvPr id="377" name="Line 102"/>
        <xdr:cNvSpPr>
          <a:spLocks/>
        </xdr:cNvSpPr>
      </xdr:nvSpPr>
      <xdr:spPr>
        <a:xfrm>
          <a:off x="1000125" y="6945630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475</xdr:row>
      <xdr:rowOff>114300</xdr:rowOff>
    </xdr:from>
    <xdr:to>
      <xdr:col>10</xdr:col>
      <xdr:colOff>38100</xdr:colOff>
      <xdr:row>476</xdr:row>
      <xdr:rowOff>28575</xdr:rowOff>
    </xdr:to>
    <xdr:sp>
      <xdr:nvSpPr>
        <xdr:cNvPr id="378" name="Line 103"/>
        <xdr:cNvSpPr>
          <a:spLocks/>
        </xdr:cNvSpPr>
      </xdr:nvSpPr>
      <xdr:spPr>
        <a:xfrm flipH="1">
          <a:off x="1771650" y="69427725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475</xdr:row>
      <xdr:rowOff>114300</xdr:rowOff>
    </xdr:from>
    <xdr:to>
      <xdr:col>20</xdr:col>
      <xdr:colOff>38100</xdr:colOff>
      <xdr:row>476</xdr:row>
      <xdr:rowOff>28575</xdr:rowOff>
    </xdr:to>
    <xdr:sp>
      <xdr:nvSpPr>
        <xdr:cNvPr id="379" name="Line 104"/>
        <xdr:cNvSpPr>
          <a:spLocks/>
        </xdr:cNvSpPr>
      </xdr:nvSpPr>
      <xdr:spPr>
        <a:xfrm flipH="1">
          <a:off x="3590925" y="694277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475</xdr:row>
      <xdr:rowOff>104775</xdr:rowOff>
    </xdr:from>
    <xdr:to>
      <xdr:col>24</xdr:col>
      <xdr:colOff>28575</xdr:colOff>
      <xdr:row>476</xdr:row>
      <xdr:rowOff>28575</xdr:rowOff>
    </xdr:to>
    <xdr:sp>
      <xdr:nvSpPr>
        <xdr:cNvPr id="380" name="Line 105"/>
        <xdr:cNvSpPr>
          <a:spLocks/>
        </xdr:cNvSpPr>
      </xdr:nvSpPr>
      <xdr:spPr>
        <a:xfrm flipH="1">
          <a:off x="4314825" y="6941820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474</xdr:row>
      <xdr:rowOff>0</xdr:rowOff>
    </xdr:from>
    <xdr:to>
      <xdr:col>24</xdr:col>
      <xdr:colOff>0</xdr:colOff>
      <xdr:row>476</xdr:row>
      <xdr:rowOff>66675</xdr:rowOff>
    </xdr:to>
    <xdr:sp>
      <xdr:nvSpPr>
        <xdr:cNvPr id="381" name="Line 106"/>
        <xdr:cNvSpPr>
          <a:spLocks/>
        </xdr:cNvSpPr>
      </xdr:nvSpPr>
      <xdr:spPr>
        <a:xfrm>
          <a:off x="4343400" y="691610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476</xdr:row>
      <xdr:rowOff>114300</xdr:rowOff>
    </xdr:from>
    <xdr:to>
      <xdr:col>20</xdr:col>
      <xdr:colOff>9525</xdr:colOff>
      <xdr:row>479</xdr:row>
      <xdr:rowOff>0</xdr:rowOff>
    </xdr:to>
    <xdr:sp>
      <xdr:nvSpPr>
        <xdr:cNvPr id="382" name="Line 107"/>
        <xdr:cNvSpPr>
          <a:spLocks/>
        </xdr:cNvSpPr>
      </xdr:nvSpPr>
      <xdr:spPr>
        <a:xfrm flipV="1">
          <a:off x="3629025" y="6957060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480</xdr:row>
      <xdr:rowOff>0</xdr:rowOff>
    </xdr:from>
    <xdr:to>
      <xdr:col>11</xdr:col>
      <xdr:colOff>76200</xdr:colOff>
      <xdr:row>480</xdr:row>
      <xdr:rowOff>0</xdr:rowOff>
    </xdr:to>
    <xdr:sp>
      <xdr:nvSpPr>
        <xdr:cNvPr id="383" name="Line 108"/>
        <xdr:cNvSpPr>
          <a:spLocks/>
        </xdr:cNvSpPr>
      </xdr:nvSpPr>
      <xdr:spPr>
        <a:xfrm>
          <a:off x="1809750" y="70027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479</xdr:row>
      <xdr:rowOff>95250</xdr:rowOff>
    </xdr:from>
    <xdr:to>
      <xdr:col>10</xdr:col>
      <xdr:colOff>0</xdr:colOff>
      <xdr:row>480</xdr:row>
      <xdr:rowOff>47625</xdr:rowOff>
    </xdr:to>
    <xdr:sp>
      <xdr:nvSpPr>
        <xdr:cNvPr id="384" name="Line 109"/>
        <xdr:cNvSpPr>
          <a:spLocks/>
        </xdr:cNvSpPr>
      </xdr:nvSpPr>
      <xdr:spPr>
        <a:xfrm>
          <a:off x="1809750" y="69980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473</xdr:row>
      <xdr:rowOff>0</xdr:rowOff>
    </xdr:from>
    <xdr:to>
      <xdr:col>10</xdr:col>
      <xdr:colOff>85725</xdr:colOff>
      <xdr:row>474</xdr:row>
      <xdr:rowOff>0</xdr:rowOff>
    </xdr:to>
    <xdr:sp>
      <xdr:nvSpPr>
        <xdr:cNvPr id="385" name="AutoShape 110"/>
        <xdr:cNvSpPr>
          <a:spLocks/>
        </xdr:cNvSpPr>
      </xdr:nvSpPr>
      <xdr:spPr>
        <a:xfrm>
          <a:off x="1724025" y="68999100"/>
          <a:ext cx="171450" cy="161925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171450</xdr:colOff>
      <xdr:row>470</xdr:row>
      <xdr:rowOff>19050</xdr:rowOff>
    </xdr:from>
    <xdr:to>
      <xdr:col>23</xdr:col>
      <xdr:colOff>171450</xdr:colOff>
      <xdr:row>473</xdr:row>
      <xdr:rowOff>0</xdr:rowOff>
    </xdr:to>
    <xdr:sp>
      <xdr:nvSpPr>
        <xdr:cNvPr id="386" name="Line 111"/>
        <xdr:cNvSpPr>
          <a:spLocks/>
        </xdr:cNvSpPr>
      </xdr:nvSpPr>
      <xdr:spPr>
        <a:xfrm>
          <a:off x="4333875" y="68580000"/>
          <a:ext cx="0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476</xdr:row>
      <xdr:rowOff>114300</xdr:rowOff>
    </xdr:from>
    <xdr:to>
      <xdr:col>10</xdr:col>
      <xdr:colOff>0</xdr:colOff>
      <xdr:row>479</xdr:row>
      <xdr:rowOff>38100</xdr:rowOff>
    </xdr:to>
    <xdr:sp>
      <xdr:nvSpPr>
        <xdr:cNvPr id="387" name="Line 112"/>
        <xdr:cNvSpPr>
          <a:spLocks/>
        </xdr:cNvSpPr>
      </xdr:nvSpPr>
      <xdr:spPr>
        <a:xfrm flipV="1">
          <a:off x="1809750" y="69570600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470</xdr:row>
      <xdr:rowOff>19050</xdr:rowOff>
    </xdr:from>
    <xdr:to>
      <xdr:col>6</xdr:col>
      <xdr:colOff>0</xdr:colOff>
      <xdr:row>473</xdr:row>
      <xdr:rowOff>0</xdr:rowOff>
    </xdr:to>
    <xdr:sp>
      <xdr:nvSpPr>
        <xdr:cNvPr id="388" name="Line 113"/>
        <xdr:cNvSpPr>
          <a:spLocks/>
        </xdr:cNvSpPr>
      </xdr:nvSpPr>
      <xdr:spPr>
        <a:xfrm>
          <a:off x="1085850" y="68580000"/>
          <a:ext cx="0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473</xdr:row>
      <xdr:rowOff>76200</xdr:rowOff>
    </xdr:from>
    <xdr:to>
      <xdr:col>6</xdr:col>
      <xdr:colOff>0</xdr:colOff>
      <xdr:row>476</xdr:row>
      <xdr:rowOff>76200</xdr:rowOff>
    </xdr:to>
    <xdr:sp>
      <xdr:nvSpPr>
        <xdr:cNvPr id="389" name="Line 114"/>
        <xdr:cNvSpPr>
          <a:spLocks/>
        </xdr:cNvSpPr>
      </xdr:nvSpPr>
      <xdr:spPr>
        <a:xfrm flipV="1">
          <a:off x="1085850" y="690753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475</xdr:row>
      <xdr:rowOff>114300</xdr:rowOff>
    </xdr:from>
    <xdr:to>
      <xdr:col>6</xdr:col>
      <xdr:colOff>28575</xdr:colOff>
      <xdr:row>476</xdr:row>
      <xdr:rowOff>38100</xdr:rowOff>
    </xdr:to>
    <xdr:sp>
      <xdr:nvSpPr>
        <xdr:cNvPr id="390" name="Line 115"/>
        <xdr:cNvSpPr>
          <a:spLocks/>
        </xdr:cNvSpPr>
      </xdr:nvSpPr>
      <xdr:spPr>
        <a:xfrm flipH="1">
          <a:off x="1047750" y="6942772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494</xdr:row>
      <xdr:rowOff>9525</xdr:rowOff>
    </xdr:from>
    <xdr:to>
      <xdr:col>20</xdr:col>
      <xdr:colOff>104775</xdr:colOff>
      <xdr:row>494</xdr:row>
      <xdr:rowOff>123825</xdr:rowOff>
    </xdr:to>
    <xdr:sp>
      <xdr:nvSpPr>
        <xdr:cNvPr id="391" name="AutoShape 116"/>
        <xdr:cNvSpPr>
          <a:spLocks/>
        </xdr:cNvSpPr>
      </xdr:nvSpPr>
      <xdr:spPr>
        <a:xfrm>
          <a:off x="3533775" y="72066150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496</xdr:row>
      <xdr:rowOff>38100</xdr:rowOff>
    </xdr:from>
    <xdr:to>
      <xdr:col>10</xdr:col>
      <xdr:colOff>0</xdr:colOff>
      <xdr:row>497</xdr:row>
      <xdr:rowOff>66675</xdr:rowOff>
    </xdr:to>
    <xdr:sp>
      <xdr:nvSpPr>
        <xdr:cNvPr id="392" name="Line 117"/>
        <xdr:cNvSpPr>
          <a:spLocks/>
        </xdr:cNvSpPr>
      </xdr:nvSpPr>
      <xdr:spPr>
        <a:xfrm>
          <a:off x="1809750" y="72409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496</xdr:row>
      <xdr:rowOff>19050</xdr:rowOff>
    </xdr:from>
    <xdr:to>
      <xdr:col>20</xdr:col>
      <xdr:colOff>0</xdr:colOff>
      <xdr:row>497</xdr:row>
      <xdr:rowOff>66675</xdr:rowOff>
    </xdr:to>
    <xdr:sp>
      <xdr:nvSpPr>
        <xdr:cNvPr id="393" name="Line 118"/>
        <xdr:cNvSpPr>
          <a:spLocks/>
        </xdr:cNvSpPr>
      </xdr:nvSpPr>
      <xdr:spPr>
        <a:xfrm>
          <a:off x="3619500" y="72390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497</xdr:row>
      <xdr:rowOff>0</xdr:rowOff>
    </xdr:from>
    <xdr:to>
      <xdr:col>24</xdr:col>
      <xdr:colOff>47625</xdr:colOff>
      <xdr:row>497</xdr:row>
      <xdr:rowOff>0</xdr:rowOff>
    </xdr:to>
    <xdr:sp>
      <xdr:nvSpPr>
        <xdr:cNvPr id="394" name="Line 119"/>
        <xdr:cNvSpPr>
          <a:spLocks/>
        </xdr:cNvSpPr>
      </xdr:nvSpPr>
      <xdr:spPr>
        <a:xfrm>
          <a:off x="1019175" y="72513825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496</xdr:row>
      <xdr:rowOff>114300</xdr:rowOff>
    </xdr:from>
    <xdr:to>
      <xdr:col>10</xdr:col>
      <xdr:colOff>38100</xdr:colOff>
      <xdr:row>497</xdr:row>
      <xdr:rowOff>28575</xdr:rowOff>
    </xdr:to>
    <xdr:sp>
      <xdr:nvSpPr>
        <xdr:cNvPr id="395" name="Line 120"/>
        <xdr:cNvSpPr>
          <a:spLocks/>
        </xdr:cNvSpPr>
      </xdr:nvSpPr>
      <xdr:spPr>
        <a:xfrm flipH="1">
          <a:off x="1771650" y="72485250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496</xdr:row>
      <xdr:rowOff>114300</xdr:rowOff>
    </xdr:from>
    <xdr:to>
      <xdr:col>20</xdr:col>
      <xdr:colOff>38100</xdr:colOff>
      <xdr:row>497</xdr:row>
      <xdr:rowOff>28575</xdr:rowOff>
    </xdr:to>
    <xdr:sp>
      <xdr:nvSpPr>
        <xdr:cNvPr id="396" name="Line 121"/>
        <xdr:cNvSpPr>
          <a:spLocks/>
        </xdr:cNvSpPr>
      </xdr:nvSpPr>
      <xdr:spPr>
        <a:xfrm flipH="1">
          <a:off x="3590925" y="724852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496</xdr:row>
      <xdr:rowOff>104775</xdr:rowOff>
    </xdr:from>
    <xdr:to>
      <xdr:col>24</xdr:col>
      <xdr:colOff>28575</xdr:colOff>
      <xdr:row>497</xdr:row>
      <xdr:rowOff>28575</xdr:rowOff>
    </xdr:to>
    <xdr:sp>
      <xdr:nvSpPr>
        <xdr:cNvPr id="397" name="Line 122"/>
        <xdr:cNvSpPr>
          <a:spLocks/>
        </xdr:cNvSpPr>
      </xdr:nvSpPr>
      <xdr:spPr>
        <a:xfrm flipH="1">
          <a:off x="4314825" y="7247572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495</xdr:row>
      <xdr:rowOff>0</xdr:rowOff>
    </xdr:from>
    <xdr:to>
      <xdr:col>24</xdr:col>
      <xdr:colOff>0</xdr:colOff>
      <xdr:row>497</xdr:row>
      <xdr:rowOff>66675</xdr:rowOff>
    </xdr:to>
    <xdr:sp>
      <xdr:nvSpPr>
        <xdr:cNvPr id="398" name="Line 123"/>
        <xdr:cNvSpPr>
          <a:spLocks/>
        </xdr:cNvSpPr>
      </xdr:nvSpPr>
      <xdr:spPr>
        <a:xfrm>
          <a:off x="4343400" y="72218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497</xdr:row>
      <xdr:rowOff>114300</xdr:rowOff>
    </xdr:from>
    <xdr:to>
      <xdr:col>20</xdr:col>
      <xdr:colOff>0</xdr:colOff>
      <xdr:row>500</xdr:row>
      <xdr:rowOff>0</xdr:rowOff>
    </xdr:to>
    <xdr:sp>
      <xdr:nvSpPr>
        <xdr:cNvPr id="399" name="Line 124"/>
        <xdr:cNvSpPr>
          <a:spLocks/>
        </xdr:cNvSpPr>
      </xdr:nvSpPr>
      <xdr:spPr>
        <a:xfrm flipV="1">
          <a:off x="3619500" y="72628125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501</xdr:row>
      <xdr:rowOff>0</xdr:rowOff>
    </xdr:from>
    <xdr:to>
      <xdr:col>11</xdr:col>
      <xdr:colOff>76200</xdr:colOff>
      <xdr:row>501</xdr:row>
      <xdr:rowOff>0</xdr:rowOff>
    </xdr:to>
    <xdr:sp>
      <xdr:nvSpPr>
        <xdr:cNvPr id="400" name="Line 125"/>
        <xdr:cNvSpPr>
          <a:spLocks/>
        </xdr:cNvSpPr>
      </xdr:nvSpPr>
      <xdr:spPr>
        <a:xfrm>
          <a:off x="1809750" y="73085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500</xdr:row>
      <xdr:rowOff>95250</xdr:rowOff>
    </xdr:from>
    <xdr:to>
      <xdr:col>10</xdr:col>
      <xdr:colOff>0</xdr:colOff>
      <xdr:row>501</xdr:row>
      <xdr:rowOff>47625</xdr:rowOff>
    </xdr:to>
    <xdr:sp>
      <xdr:nvSpPr>
        <xdr:cNvPr id="401" name="Line 126"/>
        <xdr:cNvSpPr>
          <a:spLocks/>
        </xdr:cNvSpPr>
      </xdr:nvSpPr>
      <xdr:spPr>
        <a:xfrm>
          <a:off x="1809750" y="730377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494</xdr:row>
      <xdr:rowOff>0</xdr:rowOff>
    </xdr:from>
    <xdr:to>
      <xdr:col>10</xdr:col>
      <xdr:colOff>85725</xdr:colOff>
      <xdr:row>495</xdr:row>
      <xdr:rowOff>0</xdr:rowOff>
    </xdr:to>
    <xdr:sp>
      <xdr:nvSpPr>
        <xdr:cNvPr id="402" name="AutoShape 127"/>
        <xdr:cNvSpPr>
          <a:spLocks/>
        </xdr:cNvSpPr>
      </xdr:nvSpPr>
      <xdr:spPr>
        <a:xfrm>
          <a:off x="1724025" y="72056625"/>
          <a:ext cx="171450" cy="161925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497</xdr:row>
      <xdr:rowOff>114300</xdr:rowOff>
    </xdr:from>
    <xdr:to>
      <xdr:col>9</xdr:col>
      <xdr:colOff>171450</xdr:colOff>
      <xdr:row>500</xdr:row>
      <xdr:rowOff>38100</xdr:rowOff>
    </xdr:to>
    <xdr:sp>
      <xdr:nvSpPr>
        <xdr:cNvPr id="403" name="Line 129"/>
        <xdr:cNvSpPr>
          <a:spLocks/>
        </xdr:cNvSpPr>
      </xdr:nvSpPr>
      <xdr:spPr>
        <a:xfrm flipV="1">
          <a:off x="1800225" y="72628125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494</xdr:row>
      <xdr:rowOff>76200</xdr:rowOff>
    </xdr:from>
    <xdr:to>
      <xdr:col>6</xdr:col>
      <xdr:colOff>0</xdr:colOff>
      <xdr:row>497</xdr:row>
      <xdr:rowOff>57150</xdr:rowOff>
    </xdr:to>
    <xdr:sp>
      <xdr:nvSpPr>
        <xdr:cNvPr id="404" name="Line 131"/>
        <xdr:cNvSpPr>
          <a:spLocks/>
        </xdr:cNvSpPr>
      </xdr:nvSpPr>
      <xdr:spPr>
        <a:xfrm flipV="1">
          <a:off x="1085850" y="72132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496</xdr:row>
      <xdr:rowOff>114300</xdr:rowOff>
    </xdr:from>
    <xdr:to>
      <xdr:col>6</xdr:col>
      <xdr:colOff>28575</xdr:colOff>
      <xdr:row>497</xdr:row>
      <xdr:rowOff>28575</xdr:rowOff>
    </xdr:to>
    <xdr:sp>
      <xdr:nvSpPr>
        <xdr:cNvPr id="405" name="Line 132"/>
        <xdr:cNvSpPr>
          <a:spLocks/>
        </xdr:cNvSpPr>
      </xdr:nvSpPr>
      <xdr:spPr>
        <a:xfrm flipH="1">
          <a:off x="1047750" y="724852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491</xdr:row>
      <xdr:rowOff>28575</xdr:rowOff>
    </xdr:from>
    <xdr:to>
      <xdr:col>14</xdr:col>
      <xdr:colOff>47625</xdr:colOff>
      <xdr:row>493</xdr:row>
      <xdr:rowOff>19050</xdr:rowOff>
    </xdr:to>
    <xdr:sp>
      <xdr:nvSpPr>
        <xdr:cNvPr id="406" name="Line 133"/>
        <xdr:cNvSpPr>
          <a:spLocks/>
        </xdr:cNvSpPr>
      </xdr:nvSpPr>
      <xdr:spPr>
        <a:xfrm flipV="1">
          <a:off x="2381250" y="71647050"/>
          <a:ext cx="200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265</xdr:row>
      <xdr:rowOff>9525</xdr:rowOff>
    </xdr:from>
    <xdr:to>
      <xdr:col>15</xdr:col>
      <xdr:colOff>104775</xdr:colOff>
      <xdr:row>265</xdr:row>
      <xdr:rowOff>123825</xdr:rowOff>
    </xdr:to>
    <xdr:sp>
      <xdr:nvSpPr>
        <xdr:cNvPr id="407" name="AutoShape 136"/>
        <xdr:cNvSpPr>
          <a:spLocks/>
        </xdr:cNvSpPr>
      </xdr:nvSpPr>
      <xdr:spPr>
        <a:xfrm>
          <a:off x="2628900" y="38852475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267</xdr:row>
      <xdr:rowOff>38100</xdr:rowOff>
    </xdr:from>
    <xdr:to>
      <xdr:col>5</xdr:col>
      <xdr:colOff>0</xdr:colOff>
      <xdr:row>269</xdr:row>
      <xdr:rowOff>47625</xdr:rowOff>
    </xdr:to>
    <xdr:sp>
      <xdr:nvSpPr>
        <xdr:cNvPr id="408" name="Line 137"/>
        <xdr:cNvSpPr>
          <a:spLocks/>
        </xdr:cNvSpPr>
      </xdr:nvSpPr>
      <xdr:spPr>
        <a:xfrm>
          <a:off x="904875" y="391953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269</xdr:row>
      <xdr:rowOff>0</xdr:rowOff>
    </xdr:from>
    <xdr:to>
      <xdr:col>15</xdr:col>
      <xdr:colOff>66675</xdr:colOff>
      <xdr:row>269</xdr:row>
      <xdr:rowOff>0</xdr:rowOff>
    </xdr:to>
    <xdr:sp>
      <xdr:nvSpPr>
        <xdr:cNvPr id="409" name="Line 138"/>
        <xdr:cNvSpPr>
          <a:spLocks/>
        </xdr:cNvSpPr>
      </xdr:nvSpPr>
      <xdr:spPr>
        <a:xfrm>
          <a:off x="847725" y="394430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267</xdr:row>
      <xdr:rowOff>28575</xdr:rowOff>
    </xdr:from>
    <xdr:to>
      <xdr:col>15</xdr:col>
      <xdr:colOff>0</xdr:colOff>
      <xdr:row>269</xdr:row>
      <xdr:rowOff>57150</xdr:rowOff>
    </xdr:to>
    <xdr:sp>
      <xdr:nvSpPr>
        <xdr:cNvPr id="410" name="Line 139"/>
        <xdr:cNvSpPr>
          <a:spLocks/>
        </xdr:cNvSpPr>
      </xdr:nvSpPr>
      <xdr:spPr>
        <a:xfrm>
          <a:off x="2714625" y="39185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268</xdr:row>
      <xdr:rowOff>114300</xdr:rowOff>
    </xdr:from>
    <xdr:to>
      <xdr:col>5</xdr:col>
      <xdr:colOff>28575</xdr:colOff>
      <xdr:row>269</xdr:row>
      <xdr:rowOff>28575</xdr:rowOff>
    </xdr:to>
    <xdr:sp>
      <xdr:nvSpPr>
        <xdr:cNvPr id="411" name="Line 140"/>
        <xdr:cNvSpPr>
          <a:spLocks/>
        </xdr:cNvSpPr>
      </xdr:nvSpPr>
      <xdr:spPr>
        <a:xfrm flipH="1">
          <a:off x="876300" y="394144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268</xdr:row>
      <xdr:rowOff>114300</xdr:rowOff>
    </xdr:from>
    <xdr:to>
      <xdr:col>15</xdr:col>
      <xdr:colOff>28575</xdr:colOff>
      <xdr:row>269</xdr:row>
      <xdr:rowOff>28575</xdr:rowOff>
    </xdr:to>
    <xdr:sp>
      <xdr:nvSpPr>
        <xdr:cNvPr id="412" name="Line 141"/>
        <xdr:cNvSpPr>
          <a:spLocks/>
        </xdr:cNvSpPr>
      </xdr:nvSpPr>
      <xdr:spPr>
        <a:xfrm flipH="1">
          <a:off x="2676525" y="394144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264</xdr:row>
      <xdr:rowOff>47625</xdr:rowOff>
    </xdr:from>
    <xdr:to>
      <xdr:col>7</xdr:col>
      <xdr:colOff>0</xdr:colOff>
      <xdr:row>264</xdr:row>
      <xdr:rowOff>142875</xdr:rowOff>
    </xdr:to>
    <xdr:sp>
      <xdr:nvSpPr>
        <xdr:cNvPr id="413" name="Line 142"/>
        <xdr:cNvSpPr>
          <a:spLocks/>
        </xdr:cNvSpPr>
      </xdr:nvSpPr>
      <xdr:spPr>
        <a:xfrm>
          <a:off x="1266825" y="38738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264</xdr:row>
      <xdr:rowOff>95250</xdr:rowOff>
    </xdr:from>
    <xdr:to>
      <xdr:col>6</xdr:col>
      <xdr:colOff>0</xdr:colOff>
      <xdr:row>264</xdr:row>
      <xdr:rowOff>142875</xdr:rowOff>
    </xdr:to>
    <xdr:sp>
      <xdr:nvSpPr>
        <xdr:cNvPr id="414" name="Line 143"/>
        <xdr:cNvSpPr>
          <a:spLocks/>
        </xdr:cNvSpPr>
      </xdr:nvSpPr>
      <xdr:spPr>
        <a:xfrm>
          <a:off x="1085850" y="387858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262</xdr:row>
      <xdr:rowOff>47625</xdr:rowOff>
    </xdr:from>
    <xdr:to>
      <xdr:col>12</xdr:col>
      <xdr:colOff>0</xdr:colOff>
      <xdr:row>265</xdr:row>
      <xdr:rowOff>0</xdr:rowOff>
    </xdr:to>
    <xdr:sp>
      <xdr:nvSpPr>
        <xdr:cNvPr id="415" name="Line 144"/>
        <xdr:cNvSpPr>
          <a:spLocks/>
        </xdr:cNvSpPr>
      </xdr:nvSpPr>
      <xdr:spPr>
        <a:xfrm>
          <a:off x="2171700" y="384524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261</xdr:row>
      <xdr:rowOff>133350</xdr:rowOff>
    </xdr:from>
    <xdr:to>
      <xdr:col>13</xdr:col>
      <xdr:colOff>0</xdr:colOff>
      <xdr:row>265</xdr:row>
      <xdr:rowOff>0</xdr:rowOff>
    </xdr:to>
    <xdr:sp>
      <xdr:nvSpPr>
        <xdr:cNvPr id="416" name="Line 145"/>
        <xdr:cNvSpPr>
          <a:spLocks/>
        </xdr:cNvSpPr>
      </xdr:nvSpPr>
      <xdr:spPr>
        <a:xfrm>
          <a:off x="2352675" y="383952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261</xdr:row>
      <xdr:rowOff>66675</xdr:rowOff>
    </xdr:from>
    <xdr:to>
      <xdr:col>14</xdr:col>
      <xdr:colOff>0</xdr:colOff>
      <xdr:row>264</xdr:row>
      <xdr:rowOff>142875</xdr:rowOff>
    </xdr:to>
    <xdr:sp>
      <xdr:nvSpPr>
        <xdr:cNvPr id="417" name="Line 146"/>
        <xdr:cNvSpPr>
          <a:spLocks/>
        </xdr:cNvSpPr>
      </xdr:nvSpPr>
      <xdr:spPr>
        <a:xfrm>
          <a:off x="2533650" y="383286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261</xdr:row>
      <xdr:rowOff>38100</xdr:rowOff>
    </xdr:from>
    <xdr:to>
      <xdr:col>15</xdr:col>
      <xdr:colOff>0</xdr:colOff>
      <xdr:row>262</xdr:row>
      <xdr:rowOff>104775</xdr:rowOff>
    </xdr:to>
    <xdr:sp>
      <xdr:nvSpPr>
        <xdr:cNvPr id="418" name="Line 147"/>
        <xdr:cNvSpPr>
          <a:spLocks/>
        </xdr:cNvSpPr>
      </xdr:nvSpPr>
      <xdr:spPr>
        <a:xfrm flipH="1" flipV="1">
          <a:off x="2105025" y="383000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263</xdr:row>
      <xdr:rowOff>133350</xdr:rowOff>
    </xdr:from>
    <xdr:to>
      <xdr:col>8</xdr:col>
      <xdr:colOff>0</xdr:colOff>
      <xdr:row>265</xdr:row>
      <xdr:rowOff>0</xdr:rowOff>
    </xdr:to>
    <xdr:sp>
      <xdr:nvSpPr>
        <xdr:cNvPr id="419" name="Line 148"/>
        <xdr:cNvSpPr>
          <a:spLocks/>
        </xdr:cNvSpPr>
      </xdr:nvSpPr>
      <xdr:spPr>
        <a:xfrm flipV="1">
          <a:off x="1447800" y="38681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261</xdr:row>
      <xdr:rowOff>19050</xdr:rowOff>
    </xdr:from>
    <xdr:to>
      <xdr:col>15</xdr:col>
      <xdr:colOff>0</xdr:colOff>
      <xdr:row>265</xdr:row>
      <xdr:rowOff>0</xdr:rowOff>
    </xdr:to>
    <xdr:sp>
      <xdr:nvSpPr>
        <xdr:cNvPr id="420" name="Line 149"/>
        <xdr:cNvSpPr>
          <a:spLocks/>
        </xdr:cNvSpPr>
      </xdr:nvSpPr>
      <xdr:spPr>
        <a:xfrm flipV="1">
          <a:off x="904875" y="38280975"/>
          <a:ext cx="1809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264</xdr:row>
      <xdr:rowOff>66675</xdr:rowOff>
    </xdr:from>
    <xdr:to>
      <xdr:col>6</xdr:col>
      <xdr:colOff>85725</xdr:colOff>
      <xdr:row>265</xdr:row>
      <xdr:rowOff>9525</xdr:rowOff>
    </xdr:to>
    <xdr:sp>
      <xdr:nvSpPr>
        <xdr:cNvPr id="421" name="Line 150"/>
        <xdr:cNvSpPr>
          <a:spLocks/>
        </xdr:cNvSpPr>
      </xdr:nvSpPr>
      <xdr:spPr>
        <a:xfrm flipV="1">
          <a:off x="1171575" y="38757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264</xdr:row>
      <xdr:rowOff>19050</xdr:rowOff>
    </xdr:from>
    <xdr:to>
      <xdr:col>7</xdr:col>
      <xdr:colOff>85725</xdr:colOff>
      <xdr:row>265</xdr:row>
      <xdr:rowOff>0</xdr:rowOff>
    </xdr:to>
    <xdr:sp>
      <xdr:nvSpPr>
        <xdr:cNvPr id="422" name="Line 151"/>
        <xdr:cNvSpPr>
          <a:spLocks/>
        </xdr:cNvSpPr>
      </xdr:nvSpPr>
      <xdr:spPr>
        <a:xfrm flipV="1">
          <a:off x="1352550" y="38709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262</xdr:row>
      <xdr:rowOff>9525</xdr:rowOff>
    </xdr:from>
    <xdr:to>
      <xdr:col>12</xdr:col>
      <xdr:colOff>85725</xdr:colOff>
      <xdr:row>265</xdr:row>
      <xdr:rowOff>0</xdr:rowOff>
    </xdr:to>
    <xdr:sp>
      <xdr:nvSpPr>
        <xdr:cNvPr id="423" name="Line 152"/>
        <xdr:cNvSpPr>
          <a:spLocks/>
        </xdr:cNvSpPr>
      </xdr:nvSpPr>
      <xdr:spPr>
        <a:xfrm flipV="1">
          <a:off x="2257425" y="384143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261</xdr:row>
      <xdr:rowOff>95250</xdr:rowOff>
    </xdr:from>
    <xdr:to>
      <xdr:col>13</xdr:col>
      <xdr:colOff>85725</xdr:colOff>
      <xdr:row>265</xdr:row>
      <xdr:rowOff>0</xdr:rowOff>
    </xdr:to>
    <xdr:sp>
      <xdr:nvSpPr>
        <xdr:cNvPr id="424" name="Line 153"/>
        <xdr:cNvSpPr>
          <a:spLocks/>
        </xdr:cNvSpPr>
      </xdr:nvSpPr>
      <xdr:spPr>
        <a:xfrm flipV="1">
          <a:off x="2438400" y="383571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261</xdr:row>
      <xdr:rowOff>9525</xdr:rowOff>
    </xdr:from>
    <xdr:to>
      <xdr:col>15</xdr:col>
      <xdr:colOff>0</xdr:colOff>
      <xdr:row>265</xdr:row>
      <xdr:rowOff>0</xdr:rowOff>
    </xdr:to>
    <xdr:sp>
      <xdr:nvSpPr>
        <xdr:cNvPr id="425" name="Line 154"/>
        <xdr:cNvSpPr>
          <a:spLocks/>
        </xdr:cNvSpPr>
      </xdr:nvSpPr>
      <xdr:spPr>
        <a:xfrm flipV="1">
          <a:off x="2714625" y="382714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261</xdr:row>
      <xdr:rowOff>47625</xdr:rowOff>
    </xdr:from>
    <xdr:to>
      <xdr:col>14</xdr:col>
      <xdr:colOff>95250</xdr:colOff>
      <xdr:row>265</xdr:row>
      <xdr:rowOff>0</xdr:rowOff>
    </xdr:to>
    <xdr:sp>
      <xdr:nvSpPr>
        <xdr:cNvPr id="426" name="Line 155"/>
        <xdr:cNvSpPr>
          <a:spLocks/>
        </xdr:cNvSpPr>
      </xdr:nvSpPr>
      <xdr:spPr>
        <a:xfrm flipV="1">
          <a:off x="2628900" y="383095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262</xdr:row>
      <xdr:rowOff>76200</xdr:rowOff>
    </xdr:from>
    <xdr:to>
      <xdr:col>11</xdr:col>
      <xdr:colOff>85725</xdr:colOff>
      <xdr:row>265</xdr:row>
      <xdr:rowOff>0</xdr:rowOff>
    </xdr:to>
    <xdr:sp>
      <xdr:nvSpPr>
        <xdr:cNvPr id="427" name="Line 156"/>
        <xdr:cNvSpPr>
          <a:spLocks/>
        </xdr:cNvSpPr>
      </xdr:nvSpPr>
      <xdr:spPr>
        <a:xfrm flipV="1">
          <a:off x="2076450" y="384810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262</xdr:row>
      <xdr:rowOff>104775</xdr:rowOff>
    </xdr:from>
    <xdr:to>
      <xdr:col>11</xdr:col>
      <xdr:colOff>0</xdr:colOff>
      <xdr:row>265</xdr:row>
      <xdr:rowOff>0</xdr:rowOff>
    </xdr:to>
    <xdr:sp>
      <xdr:nvSpPr>
        <xdr:cNvPr id="428" name="Line 157"/>
        <xdr:cNvSpPr>
          <a:spLocks/>
        </xdr:cNvSpPr>
      </xdr:nvSpPr>
      <xdr:spPr>
        <a:xfrm flipV="1">
          <a:off x="1990725" y="385095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262</xdr:row>
      <xdr:rowOff>123825</xdr:rowOff>
    </xdr:from>
    <xdr:to>
      <xdr:col>10</xdr:col>
      <xdr:colOff>85725</xdr:colOff>
      <xdr:row>265</xdr:row>
      <xdr:rowOff>0</xdr:rowOff>
    </xdr:to>
    <xdr:sp>
      <xdr:nvSpPr>
        <xdr:cNvPr id="429" name="Line 158"/>
        <xdr:cNvSpPr>
          <a:spLocks/>
        </xdr:cNvSpPr>
      </xdr:nvSpPr>
      <xdr:spPr>
        <a:xfrm flipV="1">
          <a:off x="1895475" y="385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263</xdr:row>
      <xdr:rowOff>19050</xdr:rowOff>
    </xdr:from>
    <xdr:to>
      <xdr:col>10</xdr:col>
      <xdr:colOff>0</xdr:colOff>
      <xdr:row>265</xdr:row>
      <xdr:rowOff>9525</xdr:rowOff>
    </xdr:to>
    <xdr:sp>
      <xdr:nvSpPr>
        <xdr:cNvPr id="430" name="Line 159"/>
        <xdr:cNvSpPr>
          <a:spLocks/>
        </xdr:cNvSpPr>
      </xdr:nvSpPr>
      <xdr:spPr>
        <a:xfrm flipV="1">
          <a:off x="1809750" y="38566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263</xdr:row>
      <xdr:rowOff>38100</xdr:rowOff>
    </xdr:from>
    <xdr:to>
      <xdr:col>9</xdr:col>
      <xdr:colOff>85725</xdr:colOff>
      <xdr:row>265</xdr:row>
      <xdr:rowOff>0</xdr:rowOff>
    </xdr:to>
    <xdr:sp>
      <xdr:nvSpPr>
        <xdr:cNvPr id="431" name="Line 160"/>
        <xdr:cNvSpPr>
          <a:spLocks/>
        </xdr:cNvSpPr>
      </xdr:nvSpPr>
      <xdr:spPr>
        <a:xfrm flipV="1">
          <a:off x="1714500" y="38585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263</xdr:row>
      <xdr:rowOff>76200</xdr:rowOff>
    </xdr:from>
    <xdr:to>
      <xdr:col>9</xdr:col>
      <xdr:colOff>0</xdr:colOff>
      <xdr:row>265</xdr:row>
      <xdr:rowOff>0</xdr:rowOff>
    </xdr:to>
    <xdr:sp>
      <xdr:nvSpPr>
        <xdr:cNvPr id="432" name="Line 161"/>
        <xdr:cNvSpPr>
          <a:spLocks/>
        </xdr:cNvSpPr>
      </xdr:nvSpPr>
      <xdr:spPr>
        <a:xfrm flipV="1">
          <a:off x="1628775" y="386238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263</xdr:row>
      <xdr:rowOff>104775</xdr:rowOff>
    </xdr:from>
    <xdr:to>
      <xdr:col>8</xdr:col>
      <xdr:colOff>85725</xdr:colOff>
      <xdr:row>265</xdr:row>
      <xdr:rowOff>0</xdr:rowOff>
    </xdr:to>
    <xdr:sp>
      <xdr:nvSpPr>
        <xdr:cNvPr id="433" name="Line 162"/>
        <xdr:cNvSpPr>
          <a:spLocks/>
        </xdr:cNvSpPr>
      </xdr:nvSpPr>
      <xdr:spPr>
        <a:xfrm flipV="1">
          <a:off x="1533525" y="38652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269</xdr:row>
      <xdr:rowOff>85725</xdr:rowOff>
    </xdr:from>
    <xdr:to>
      <xdr:col>5</xdr:col>
      <xdr:colOff>0</xdr:colOff>
      <xdr:row>272</xdr:row>
      <xdr:rowOff>19050</xdr:rowOff>
    </xdr:to>
    <xdr:sp>
      <xdr:nvSpPr>
        <xdr:cNvPr id="434" name="Line 163"/>
        <xdr:cNvSpPr>
          <a:spLocks/>
        </xdr:cNvSpPr>
      </xdr:nvSpPr>
      <xdr:spPr>
        <a:xfrm flipV="1">
          <a:off x="904875" y="39528750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269</xdr:row>
      <xdr:rowOff>85725</xdr:rowOff>
    </xdr:from>
    <xdr:to>
      <xdr:col>15</xdr:col>
      <xdr:colOff>0</xdr:colOff>
      <xdr:row>272</xdr:row>
      <xdr:rowOff>19050</xdr:rowOff>
    </xdr:to>
    <xdr:sp>
      <xdr:nvSpPr>
        <xdr:cNvPr id="435" name="Line 164"/>
        <xdr:cNvSpPr>
          <a:spLocks/>
        </xdr:cNvSpPr>
      </xdr:nvSpPr>
      <xdr:spPr>
        <a:xfrm flipV="1">
          <a:off x="2714625" y="39528750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273</xdr:row>
      <xdr:rowOff>0</xdr:rowOff>
    </xdr:from>
    <xdr:to>
      <xdr:col>6</xdr:col>
      <xdr:colOff>76200</xdr:colOff>
      <xdr:row>273</xdr:row>
      <xdr:rowOff>0</xdr:rowOff>
    </xdr:to>
    <xdr:sp>
      <xdr:nvSpPr>
        <xdr:cNvPr id="436" name="Line 165"/>
        <xdr:cNvSpPr>
          <a:spLocks/>
        </xdr:cNvSpPr>
      </xdr:nvSpPr>
      <xdr:spPr>
        <a:xfrm>
          <a:off x="904875" y="400145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272</xdr:row>
      <xdr:rowOff>95250</xdr:rowOff>
    </xdr:from>
    <xdr:to>
      <xdr:col>5</xdr:col>
      <xdr:colOff>0</xdr:colOff>
      <xdr:row>273</xdr:row>
      <xdr:rowOff>47625</xdr:rowOff>
    </xdr:to>
    <xdr:sp>
      <xdr:nvSpPr>
        <xdr:cNvPr id="437" name="Line 166"/>
        <xdr:cNvSpPr>
          <a:spLocks/>
        </xdr:cNvSpPr>
      </xdr:nvSpPr>
      <xdr:spPr>
        <a:xfrm>
          <a:off x="904875" y="39966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265</xdr:row>
      <xdr:rowOff>0</xdr:rowOff>
    </xdr:from>
    <xdr:to>
      <xdr:col>5</xdr:col>
      <xdr:colOff>85725</xdr:colOff>
      <xdr:row>266</xdr:row>
      <xdr:rowOff>0</xdr:rowOff>
    </xdr:to>
    <xdr:sp>
      <xdr:nvSpPr>
        <xdr:cNvPr id="438" name="AutoShape 167"/>
        <xdr:cNvSpPr>
          <a:spLocks/>
        </xdr:cNvSpPr>
      </xdr:nvSpPr>
      <xdr:spPr>
        <a:xfrm>
          <a:off x="819150" y="38842950"/>
          <a:ext cx="171450" cy="161925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452</xdr:row>
      <xdr:rowOff>114300</xdr:rowOff>
    </xdr:from>
    <xdr:to>
      <xdr:col>5</xdr:col>
      <xdr:colOff>9525</xdr:colOff>
      <xdr:row>455</xdr:row>
      <xdr:rowOff>38100</xdr:rowOff>
    </xdr:to>
    <xdr:sp>
      <xdr:nvSpPr>
        <xdr:cNvPr id="439" name="Line 168"/>
        <xdr:cNvSpPr>
          <a:spLocks/>
        </xdr:cNvSpPr>
      </xdr:nvSpPr>
      <xdr:spPr>
        <a:xfrm flipV="1">
          <a:off x="914400" y="66084450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449</xdr:row>
      <xdr:rowOff>9525</xdr:rowOff>
    </xdr:from>
    <xdr:to>
      <xdr:col>15</xdr:col>
      <xdr:colOff>104775</xdr:colOff>
      <xdr:row>449</xdr:row>
      <xdr:rowOff>123825</xdr:rowOff>
    </xdr:to>
    <xdr:sp>
      <xdr:nvSpPr>
        <xdr:cNvPr id="440" name="AutoShape 169"/>
        <xdr:cNvSpPr>
          <a:spLocks/>
        </xdr:cNvSpPr>
      </xdr:nvSpPr>
      <xdr:spPr>
        <a:xfrm>
          <a:off x="2628900" y="65522475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451</xdr:row>
      <xdr:rowOff>38100</xdr:rowOff>
    </xdr:from>
    <xdr:to>
      <xdr:col>5</xdr:col>
      <xdr:colOff>0</xdr:colOff>
      <xdr:row>452</xdr:row>
      <xdr:rowOff>66675</xdr:rowOff>
    </xdr:to>
    <xdr:sp>
      <xdr:nvSpPr>
        <xdr:cNvPr id="441" name="Line 170"/>
        <xdr:cNvSpPr>
          <a:spLocks/>
        </xdr:cNvSpPr>
      </xdr:nvSpPr>
      <xdr:spPr>
        <a:xfrm>
          <a:off x="904875" y="65865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451</xdr:row>
      <xdr:rowOff>19050</xdr:rowOff>
    </xdr:from>
    <xdr:to>
      <xdr:col>15</xdr:col>
      <xdr:colOff>0</xdr:colOff>
      <xdr:row>452</xdr:row>
      <xdr:rowOff>66675</xdr:rowOff>
    </xdr:to>
    <xdr:sp>
      <xdr:nvSpPr>
        <xdr:cNvPr id="442" name="Line 171"/>
        <xdr:cNvSpPr>
          <a:spLocks/>
        </xdr:cNvSpPr>
      </xdr:nvSpPr>
      <xdr:spPr>
        <a:xfrm>
          <a:off x="2714625" y="65846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452</xdr:row>
      <xdr:rowOff>0</xdr:rowOff>
    </xdr:from>
    <xdr:to>
      <xdr:col>19</xdr:col>
      <xdr:colOff>47625</xdr:colOff>
      <xdr:row>452</xdr:row>
      <xdr:rowOff>0</xdr:rowOff>
    </xdr:to>
    <xdr:sp>
      <xdr:nvSpPr>
        <xdr:cNvPr id="443" name="Line 172"/>
        <xdr:cNvSpPr>
          <a:spLocks/>
        </xdr:cNvSpPr>
      </xdr:nvSpPr>
      <xdr:spPr>
        <a:xfrm>
          <a:off x="828675" y="659701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451</xdr:row>
      <xdr:rowOff>114300</xdr:rowOff>
    </xdr:from>
    <xdr:to>
      <xdr:col>5</xdr:col>
      <xdr:colOff>38100</xdr:colOff>
      <xdr:row>452</xdr:row>
      <xdr:rowOff>28575</xdr:rowOff>
    </xdr:to>
    <xdr:sp>
      <xdr:nvSpPr>
        <xdr:cNvPr id="444" name="Line 173"/>
        <xdr:cNvSpPr>
          <a:spLocks/>
        </xdr:cNvSpPr>
      </xdr:nvSpPr>
      <xdr:spPr>
        <a:xfrm flipH="1">
          <a:off x="866775" y="65941575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451</xdr:row>
      <xdr:rowOff>114300</xdr:rowOff>
    </xdr:from>
    <xdr:to>
      <xdr:col>15</xdr:col>
      <xdr:colOff>38100</xdr:colOff>
      <xdr:row>452</xdr:row>
      <xdr:rowOff>28575</xdr:rowOff>
    </xdr:to>
    <xdr:sp>
      <xdr:nvSpPr>
        <xdr:cNvPr id="445" name="Line 174"/>
        <xdr:cNvSpPr>
          <a:spLocks/>
        </xdr:cNvSpPr>
      </xdr:nvSpPr>
      <xdr:spPr>
        <a:xfrm flipH="1">
          <a:off x="2686050" y="659415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451</xdr:row>
      <xdr:rowOff>104775</xdr:rowOff>
    </xdr:from>
    <xdr:to>
      <xdr:col>19</xdr:col>
      <xdr:colOff>28575</xdr:colOff>
      <xdr:row>452</xdr:row>
      <xdr:rowOff>28575</xdr:rowOff>
    </xdr:to>
    <xdr:sp>
      <xdr:nvSpPr>
        <xdr:cNvPr id="446" name="Line 175"/>
        <xdr:cNvSpPr>
          <a:spLocks/>
        </xdr:cNvSpPr>
      </xdr:nvSpPr>
      <xdr:spPr>
        <a:xfrm flipH="1">
          <a:off x="3409950" y="6593205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450</xdr:row>
      <xdr:rowOff>0</xdr:rowOff>
    </xdr:from>
    <xdr:to>
      <xdr:col>19</xdr:col>
      <xdr:colOff>0</xdr:colOff>
      <xdr:row>452</xdr:row>
      <xdr:rowOff>66675</xdr:rowOff>
    </xdr:to>
    <xdr:sp>
      <xdr:nvSpPr>
        <xdr:cNvPr id="447" name="Line 176"/>
        <xdr:cNvSpPr>
          <a:spLocks/>
        </xdr:cNvSpPr>
      </xdr:nvSpPr>
      <xdr:spPr>
        <a:xfrm>
          <a:off x="3438525" y="656748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452</xdr:row>
      <xdr:rowOff>114300</xdr:rowOff>
    </xdr:from>
    <xdr:to>
      <xdr:col>15</xdr:col>
      <xdr:colOff>0</xdr:colOff>
      <xdr:row>455</xdr:row>
      <xdr:rowOff>0</xdr:rowOff>
    </xdr:to>
    <xdr:sp>
      <xdr:nvSpPr>
        <xdr:cNvPr id="448" name="Line 177"/>
        <xdr:cNvSpPr>
          <a:spLocks/>
        </xdr:cNvSpPr>
      </xdr:nvSpPr>
      <xdr:spPr>
        <a:xfrm flipV="1">
          <a:off x="2714625" y="6608445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456</xdr:row>
      <xdr:rowOff>0</xdr:rowOff>
    </xdr:from>
    <xdr:to>
      <xdr:col>6</xdr:col>
      <xdr:colOff>76200</xdr:colOff>
      <xdr:row>456</xdr:row>
      <xdr:rowOff>0</xdr:rowOff>
    </xdr:to>
    <xdr:sp>
      <xdr:nvSpPr>
        <xdr:cNvPr id="449" name="Line 178"/>
        <xdr:cNvSpPr>
          <a:spLocks/>
        </xdr:cNvSpPr>
      </xdr:nvSpPr>
      <xdr:spPr>
        <a:xfrm>
          <a:off x="904875" y="665416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455</xdr:row>
      <xdr:rowOff>95250</xdr:rowOff>
    </xdr:from>
    <xdr:to>
      <xdr:col>5</xdr:col>
      <xdr:colOff>0</xdr:colOff>
      <xdr:row>456</xdr:row>
      <xdr:rowOff>47625</xdr:rowOff>
    </xdr:to>
    <xdr:sp>
      <xdr:nvSpPr>
        <xdr:cNvPr id="450" name="Line 179"/>
        <xdr:cNvSpPr>
          <a:spLocks/>
        </xdr:cNvSpPr>
      </xdr:nvSpPr>
      <xdr:spPr>
        <a:xfrm>
          <a:off x="904875" y="66494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449</xdr:row>
      <xdr:rowOff>0</xdr:rowOff>
    </xdr:from>
    <xdr:to>
      <xdr:col>5</xdr:col>
      <xdr:colOff>85725</xdr:colOff>
      <xdr:row>450</xdr:row>
      <xdr:rowOff>0</xdr:rowOff>
    </xdr:to>
    <xdr:sp>
      <xdr:nvSpPr>
        <xdr:cNvPr id="451" name="AutoShape 180"/>
        <xdr:cNvSpPr>
          <a:spLocks/>
        </xdr:cNvSpPr>
      </xdr:nvSpPr>
      <xdr:spPr>
        <a:xfrm>
          <a:off x="819150" y="65512950"/>
          <a:ext cx="171450" cy="161925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446</xdr:row>
      <xdr:rowOff>19050</xdr:rowOff>
    </xdr:from>
    <xdr:to>
      <xdr:col>17</xdr:col>
      <xdr:colOff>47625</xdr:colOff>
      <xdr:row>448</xdr:row>
      <xdr:rowOff>47625</xdr:rowOff>
    </xdr:to>
    <xdr:sp>
      <xdr:nvSpPr>
        <xdr:cNvPr id="452" name="Line 181"/>
        <xdr:cNvSpPr>
          <a:spLocks/>
        </xdr:cNvSpPr>
      </xdr:nvSpPr>
      <xdr:spPr>
        <a:xfrm flipH="1" flipV="1">
          <a:off x="2943225" y="65093850"/>
          <a:ext cx="1809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110</xdr:row>
      <xdr:rowOff>66675</xdr:rowOff>
    </xdr:from>
    <xdr:to>
      <xdr:col>4</xdr:col>
      <xdr:colOff>47625</xdr:colOff>
      <xdr:row>112</xdr:row>
      <xdr:rowOff>114300</xdr:rowOff>
    </xdr:to>
    <xdr:sp>
      <xdr:nvSpPr>
        <xdr:cNvPr id="453" name="Arc 182"/>
        <xdr:cNvSpPr>
          <a:spLocks/>
        </xdr:cNvSpPr>
      </xdr:nvSpPr>
      <xdr:spPr>
        <a:xfrm rot="2508333" flipH="1" flipV="1">
          <a:off x="457200" y="16392525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113</xdr:row>
      <xdr:rowOff>66675</xdr:rowOff>
    </xdr:from>
    <xdr:to>
      <xdr:col>5</xdr:col>
      <xdr:colOff>0</xdr:colOff>
      <xdr:row>116</xdr:row>
      <xdr:rowOff>66675</xdr:rowOff>
    </xdr:to>
    <xdr:sp>
      <xdr:nvSpPr>
        <xdr:cNvPr id="454" name="Line 183"/>
        <xdr:cNvSpPr>
          <a:spLocks/>
        </xdr:cNvSpPr>
      </xdr:nvSpPr>
      <xdr:spPr>
        <a:xfrm>
          <a:off x="904875" y="168402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116</xdr:row>
      <xdr:rowOff>0</xdr:rowOff>
    </xdr:from>
    <xdr:to>
      <xdr:col>15</xdr:col>
      <xdr:colOff>76200</xdr:colOff>
      <xdr:row>116</xdr:row>
      <xdr:rowOff>0</xdr:rowOff>
    </xdr:to>
    <xdr:sp>
      <xdr:nvSpPr>
        <xdr:cNvPr id="455" name="Line 184"/>
        <xdr:cNvSpPr>
          <a:spLocks/>
        </xdr:cNvSpPr>
      </xdr:nvSpPr>
      <xdr:spPr>
        <a:xfrm>
          <a:off x="819150" y="172021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114</xdr:row>
      <xdr:rowOff>0</xdr:rowOff>
    </xdr:from>
    <xdr:to>
      <xdr:col>15</xdr:col>
      <xdr:colOff>0</xdr:colOff>
      <xdr:row>116</xdr:row>
      <xdr:rowOff>76200</xdr:rowOff>
    </xdr:to>
    <xdr:sp>
      <xdr:nvSpPr>
        <xdr:cNvPr id="456" name="Line 185"/>
        <xdr:cNvSpPr>
          <a:spLocks/>
        </xdr:cNvSpPr>
      </xdr:nvSpPr>
      <xdr:spPr>
        <a:xfrm>
          <a:off x="2714625" y="169164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115</xdr:row>
      <xdr:rowOff>104775</xdr:rowOff>
    </xdr:from>
    <xdr:to>
      <xdr:col>5</xdr:col>
      <xdr:colOff>38100</xdr:colOff>
      <xdr:row>116</xdr:row>
      <xdr:rowOff>28575</xdr:rowOff>
    </xdr:to>
    <xdr:sp>
      <xdr:nvSpPr>
        <xdr:cNvPr id="457" name="Line 186"/>
        <xdr:cNvSpPr>
          <a:spLocks/>
        </xdr:cNvSpPr>
      </xdr:nvSpPr>
      <xdr:spPr>
        <a:xfrm flipH="1">
          <a:off x="876300" y="1716405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115</xdr:row>
      <xdr:rowOff>114300</xdr:rowOff>
    </xdr:from>
    <xdr:to>
      <xdr:col>15</xdr:col>
      <xdr:colOff>28575</xdr:colOff>
      <xdr:row>116</xdr:row>
      <xdr:rowOff>28575</xdr:rowOff>
    </xdr:to>
    <xdr:sp>
      <xdr:nvSpPr>
        <xdr:cNvPr id="458" name="Line 187"/>
        <xdr:cNvSpPr>
          <a:spLocks/>
        </xdr:cNvSpPr>
      </xdr:nvSpPr>
      <xdr:spPr>
        <a:xfrm flipH="1">
          <a:off x="2676525" y="171735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116</xdr:row>
      <xdr:rowOff>104775</xdr:rowOff>
    </xdr:from>
    <xdr:to>
      <xdr:col>5</xdr:col>
      <xdr:colOff>0</xdr:colOff>
      <xdr:row>119</xdr:row>
      <xdr:rowOff>38100</xdr:rowOff>
    </xdr:to>
    <xdr:sp>
      <xdr:nvSpPr>
        <xdr:cNvPr id="459" name="Line 189"/>
        <xdr:cNvSpPr>
          <a:spLocks/>
        </xdr:cNvSpPr>
      </xdr:nvSpPr>
      <xdr:spPr>
        <a:xfrm flipV="1">
          <a:off x="904875" y="1730692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76200</xdr:colOff>
      <xdr:row>120</xdr:row>
      <xdr:rowOff>0</xdr:rowOff>
    </xdr:to>
    <xdr:sp>
      <xdr:nvSpPr>
        <xdr:cNvPr id="460" name="Line 190"/>
        <xdr:cNvSpPr>
          <a:spLocks/>
        </xdr:cNvSpPr>
      </xdr:nvSpPr>
      <xdr:spPr>
        <a:xfrm>
          <a:off x="904875" y="177736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119</xdr:row>
      <xdr:rowOff>95250</xdr:rowOff>
    </xdr:from>
    <xdr:to>
      <xdr:col>5</xdr:col>
      <xdr:colOff>0</xdr:colOff>
      <xdr:row>120</xdr:row>
      <xdr:rowOff>47625</xdr:rowOff>
    </xdr:to>
    <xdr:sp>
      <xdr:nvSpPr>
        <xdr:cNvPr id="461" name="Line 191"/>
        <xdr:cNvSpPr>
          <a:spLocks/>
        </xdr:cNvSpPr>
      </xdr:nvSpPr>
      <xdr:spPr>
        <a:xfrm>
          <a:off x="904875" y="17726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110</xdr:row>
      <xdr:rowOff>114300</xdr:rowOff>
    </xdr:from>
    <xdr:to>
      <xdr:col>16</xdr:col>
      <xdr:colOff>0</xdr:colOff>
      <xdr:row>113</xdr:row>
      <xdr:rowOff>9525</xdr:rowOff>
    </xdr:to>
    <xdr:sp>
      <xdr:nvSpPr>
        <xdr:cNvPr id="462" name="Arc 192"/>
        <xdr:cNvSpPr>
          <a:spLocks/>
        </xdr:cNvSpPr>
      </xdr:nvSpPr>
      <xdr:spPr>
        <a:xfrm rot="12758465" flipH="1" flipV="1">
          <a:off x="2581275" y="16440150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187</xdr:row>
      <xdr:rowOff>38100</xdr:rowOff>
    </xdr:from>
    <xdr:to>
      <xdr:col>5</xdr:col>
      <xdr:colOff>0</xdr:colOff>
      <xdr:row>189</xdr:row>
      <xdr:rowOff>47625</xdr:rowOff>
    </xdr:to>
    <xdr:sp>
      <xdr:nvSpPr>
        <xdr:cNvPr id="463" name="Line 194"/>
        <xdr:cNvSpPr>
          <a:spLocks/>
        </xdr:cNvSpPr>
      </xdr:nvSpPr>
      <xdr:spPr>
        <a:xfrm>
          <a:off x="904875" y="27536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189</xdr:row>
      <xdr:rowOff>0</xdr:rowOff>
    </xdr:from>
    <xdr:to>
      <xdr:col>15</xdr:col>
      <xdr:colOff>66675</xdr:colOff>
      <xdr:row>189</xdr:row>
      <xdr:rowOff>0</xdr:rowOff>
    </xdr:to>
    <xdr:sp>
      <xdr:nvSpPr>
        <xdr:cNvPr id="464" name="Line 195"/>
        <xdr:cNvSpPr>
          <a:spLocks/>
        </xdr:cNvSpPr>
      </xdr:nvSpPr>
      <xdr:spPr>
        <a:xfrm>
          <a:off x="847725" y="277844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187</xdr:row>
      <xdr:rowOff>28575</xdr:rowOff>
    </xdr:from>
    <xdr:to>
      <xdr:col>15</xdr:col>
      <xdr:colOff>0</xdr:colOff>
      <xdr:row>189</xdr:row>
      <xdr:rowOff>57150</xdr:rowOff>
    </xdr:to>
    <xdr:sp>
      <xdr:nvSpPr>
        <xdr:cNvPr id="465" name="Line 196"/>
        <xdr:cNvSpPr>
          <a:spLocks/>
        </xdr:cNvSpPr>
      </xdr:nvSpPr>
      <xdr:spPr>
        <a:xfrm>
          <a:off x="2714625" y="27527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188</xdr:row>
      <xdr:rowOff>114300</xdr:rowOff>
    </xdr:from>
    <xdr:to>
      <xdr:col>5</xdr:col>
      <xdr:colOff>28575</xdr:colOff>
      <xdr:row>189</xdr:row>
      <xdr:rowOff>28575</xdr:rowOff>
    </xdr:to>
    <xdr:sp>
      <xdr:nvSpPr>
        <xdr:cNvPr id="466" name="Line 197"/>
        <xdr:cNvSpPr>
          <a:spLocks/>
        </xdr:cNvSpPr>
      </xdr:nvSpPr>
      <xdr:spPr>
        <a:xfrm flipH="1">
          <a:off x="876300" y="277558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188</xdr:row>
      <xdr:rowOff>114300</xdr:rowOff>
    </xdr:from>
    <xdr:to>
      <xdr:col>15</xdr:col>
      <xdr:colOff>28575</xdr:colOff>
      <xdr:row>189</xdr:row>
      <xdr:rowOff>28575</xdr:rowOff>
    </xdr:to>
    <xdr:sp>
      <xdr:nvSpPr>
        <xdr:cNvPr id="467" name="Line 198"/>
        <xdr:cNvSpPr>
          <a:spLocks/>
        </xdr:cNvSpPr>
      </xdr:nvSpPr>
      <xdr:spPr>
        <a:xfrm flipH="1">
          <a:off x="2676525" y="277558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185</xdr:row>
      <xdr:rowOff>47625</xdr:rowOff>
    </xdr:from>
    <xdr:to>
      <xdr:col>7</xdr:col>
      <xdr:colOff>0</xdr:colOff>
      <xdr:row>185</xdr:row>
      <xdr:rowOff>142875</xdr:rowOff>
    </xdr:to>
    <xdr:sp>
      <xdr:nvSpPr>
        <xdr:cNvPr id="468" name="Line 199"/>
        <xdr:cNvSpPr>
          <a:spLocks/>
        </xdr:cNvSpPr>
      </xdr:nvSpPr>
      <xdr:spPr>
        <a:xfrm>
          <a:off x="1266825" y="272415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185</xdr:row>
      <xdr:rowOff>95250</xdr:rowOff>
    </xdr:from>
    <xdr:to>
      <xdr:col>6</xdr:col>
      <xdr:colOff>0</xdr:colOff>
      <xdr:row>185</xdr:row>
      <xdr:rowOff>142875</xdr:rowOff>
    </xdr:to>
    <xdr:sp>
      <xdr:nvSpPr>
        <xdr:cNvPr id="469" name="Line 200"/>
        <xdr:cNvSpPr>
          <a:spLocks/>
        </xdr:cNvSpPr>
      </xdr:nvSpPr>
      <xdr:spPr>
        <a:xfrm>
          <a:off x="1085850" y="272891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183</xdr:row>
      <xdr:rowOff>47625</xdr:rowOff>
    </xdr:from>
    <xdr:to>
      <xdr:col>12</xdr:col>
      <xdr:colOff>0</xdr:colOff>
      <xdr:row>186</xdr:row>
      <xdr:rowOff>0</xdr:rowOff>
    </xdr:to>
    <xdr:sp>
      <xdr:nvSpPr>
        <xdr:cNvPr id="470" name="Line 201"/>
        <xdr:cNvSpPr>
          <a:spLocks/>
        </xdr:cNvSpPr>
      </xdr:nvSpPr>
      <xdr:spPr>
        <a:xfrm>
          <a:off x="2171700" y="269557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182</xdr:row>
      <xdr:rowOff>133350</xdr:rowOff>
    </xdr:from>
    <xdr:to>
      <xdr:col>13</xdr:col>
      <xdr:colOff>0</xdr:colOff>
      <xdr:row>186</xdr:row>
      <xdr:rowOff>0</xdr:rowOff>
    </xdr:to>
    <xdr:sp>
      <xdr:nvSpPr>
        <xdr:cNvPr id="471" name="Line 202"/>
        <xdr:cNvSpPr>
          <a:spLocks/>
        </xdr:cNvSpPr>
      </xdr:nvSpPr>
      <xdr:spPr>
        <a:xfrm>
          <a:off x="2352675" y="268986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182</xdr:row>
      <xdr:rowOff>66675</xdr:rowOff>
    </xdr:from>
    <xdr:to>
      <xdr:col>14</xdr:col>
      <xdr:colOff>0</xdr:colOff>
      <xdr:row>185</xdr:row>
      <xdr:rowOff>142875</xdr:rowOff>
    </xdr:to>
    <xdr:sp>
      <xdr:nvSpPr>
        <xdr:cNvPr id="472" name="Line 203"/>
        <xdr:cNvSpPr>
          <a:spLocks/>
        </xdr:cNvSpPr>
      </xdr:nvSpPr>
      <xdr:spPr>
        <a:xfrm>
          <a:off x="2533650" y="268319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182</xdr:row>
      <xdr:rowOff>38100</xdr:rowOff>
    </xdr:from>
    <xdr:to>
      <xdr:col>15</xdr:col>
      <xdr:colOff>0</xdr:colOff>
      <xdr:row>183</xdr:row>
      <xdr:rowOff>104775</xdr:rowOff>
    </xdr:to>
    <xdr:sp>
      <xdr:nvSpPr>
        <xdr:cNvPr id="473" name="Line 204"/>
        <xdr:cNvSpPr>
          <a:spLocks/>
        </xdr:cNvSpPr>
      </xdr:nvSpPr>
      <xdr:spPr>
        <a:xfrm flipH="1" flipV="1">
          <a:off x="2105025" y="2680335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184</xdr:row>
      <xdr:rowOff>133350</xdr:rowOff>
    </xdr:from>
    <xdr:to>
      <xdr:col>8</xdr:col>
      <xdr:colOff>0</xdr:colOff>
      <xdr:row>186</xdr:row>
      <xdr:rowOff>0</xdr:rowOff>
    </xdr:to>
    <xdr:sp>
      <xdr:nvSpPr>
        <xdr:cNvPr id="474" name="Line 205"/>
        <xdr:cNvSpPr>
          <a:spLocks/>
        </xdr:cNvSpPr>
      </xdr:nvSpPr>
      <xdr:spPr>
        <a:xfrm flipV="1">
          <a:off x="1447800" y="27184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182</xdr:row>
      <xdr:rowOff>19050</xdr:rowOff>
    </xdr:from>
    <xdr:to>
      <xdr:col>15</xdr:col>
      <xdr:colOff>0</xdr:colOff>
      <xdr:row>186</xdr:row>
      <xdr:rowOff>0</xdr:rowOff>
    </xdr:to>
    <xdr:sp>
      <xdr:nvSpPr>
        <xdr:cNvPr id="475" name="Line 206"/>
        <xdr:cNvSpPr>
          <a:spLocks/>
        </xdr:cNvSpPr>
      </xdr:nvSpPr>
      <xdr:spPr>
        <a:xfrm flipV="1">
          <a:off x="904875" y="26784300"/>
          <a:ext cx="1809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185</xdr:row>
      <xdr:rowOff>66675</xdr:rowOff>
    </xdr:from>
    <xdr:to>
      <xdr:col>6</xdr:col>
      <xdr:colOff>85725</xdr:colOff>
      <xdr:row>186</xdr:row>
      <xdr:rowOff>9525</xdr:rowOff>
    </xdr:to>
    <xdr:sp>
      <xdr:nvSpPr>
        <xdr:cNvPr id="476" name="Line 207"/>
        <xdr:cNvSpPr>
          <a:spLocks/>
        </xdr:cNvSpPr>
      </xdr:nvSpPr>
      <xdr:spPr>
        <a:xfrm flipV="1">
          <a:off x="1171575" y="27260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185</xdr:row>
      <xdr:rowOff>19050</xdr:rowOff>
    </xdr:from>
    <xdr:to>
      <xdr:col>7</xdr:col>
      <xdr:colOff>85725</xdr:colOff>
      <xdr:row>186</xdr:row>
      <xdr:rowOff>0</xdr:rowOff>
    </xdr:to>
    <xdr:sp>
      <xdr:nvSpPr>
        <xdr:cNvPr id="477" name="Line 208"/>
        <xdr:cNvSpPr>
          <a:spLocks/>
        </xdr:cNvSpPr>
      </xdr:nvSpPr>
      <xdr:spPr>
        <a:xfrm flipV="1">
          <a:off x="1352550" y="2721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183</xdr:row>
      <xdr:rowOff>9525</xdr:rowOff>
    </xdr:from>
    <xdr:to>
      <xdr:col>12</xdr:col>
      <xdr:colOff>85725</xdr:colOff>
      <xdr:row>186</xdr:row>
      <xdr:rowOff>0</xdr:rowOff>
    </xdr:to>
    <xdr:sp>
      <xdr:nvSpPr>
        <xdr:cNvPr id="478" name="Line 209"/>
        <xdr:cNvSpPr>
          <a:spLocks/>
        </xdr:cNvSpPr>
      </xdr:nvSpPr>
      <xdr:spPr>
        <a:xfrm flipV="1">
          <a:off x="2257425" y="26917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182</xdr:row>
      <xdr:rowOff>95250</xdr:rowOff>
    </xdr:from>
    <xdr:to>
      <xdr:col>13</xdr:col>
      <xdr:colOff>85725</xdr:colOff>
      <xdr:row>186</xdr:row>
      <xdr:rowOff>0</xdr:rowOff>
    </xdr:to>
    <xdr:sp>
      <xdr:nvSpPr>
        <xdr:cNvPr id="479" name="Line 210"/>
        <xdr:cNvSpPr>
          <a:spLocks/>
        </xdr:cNvSpPr>
      </xdr:nvSpPr>
      <xdr:spPr>
        <a:xfrm flipV="1">
          <a:off x="2438400" y="26860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182</xdr:row>
      <xdr:rowOff>9525</xdr:rowOff>
    </xdr:from>
    <xdr:to>
      <xdr:col>15</xdr:col>
      <xdr:colOff>0</xdr:colOff>
      <xdr:row>186</xdr:row>
      <xdr:rowOff>0</xdr:rowOff>
    </xdr:to>
    <xdr:sp>
      <xdr:nvSpPr>
        <xdr:cNvPr id="480" name="Line 211"/>
        <xdr:cNvSpPr>
          <a:spLocks/>
        </xdr:cNvSpPr>
      </xdr:nvSpPr>
      <xdr:spPr>
        <a:xfrm flipV="1">
          <a:off x="2714625" y="267747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182</xdr:row>
      <xdr:rowOff>47625</xdr:rowOff>
    </xdr:from>
    <xdr:to>
      <xdr:col>14</xdr:col>
      <xdr:colOff>95250</xdr:colOff>
      <xdr:row>186</xdr:row>
      <xdr:rowOff>0</xdr:rowOff>
    </xdr:to>
    <xdr:sp>
      <xdr:nvSpPr>
        <xdr:cNvPr id="481" name="Line 212"/>
        <xdr:cNvSpPr>
          <a:spLocks/>
        </xdr:cNvSpPr>
      </xdr:nvSpPr>
      <xdr:spPr>
        <a:xfrm flipV="1">
          <a:off x="2628900" y="268128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183</xdr:row>
      <xdr:rowOff>76200</xdr:rowOff>
    </xdr:from>
    <xdr:to>
      <xdr:col>11</xdr:col>
      <xdr:colOff>85725</xdr:colOff>
      <xdr:row>186</xdr:row>
      <xdr:rowOff>0</xdr:rowOff>
    </xdr:to>
    <xdr:sp>
      <xdr:nvSpPr>
        <xdr:cNvPr id="482" name="Line 213"/>
        <xdr:cNvSpPr>
          <a:spLocks/>
        </xdr:cNvSpPr>
      </xdr:nvSpPr>
      <xdr:spPr>
        <a:xfrm flipV="1">
          <a:off x="2076450" y="269843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183</xdr:row>
      <xdr:rowOff>104775</xdr:rowOff>
    </xdr:from>
    <xdr:to>
      <xdr:col>11</xdr:col>
      <xdr:colOff>0</xdr:colOff>
      <xdr:row>186</xdr:row>
      <xdr:rowOff>0</xdr:rowOff>
    </xdr:to>
    <xdr:sp>
      <xdr:nvSpPr>
        <xdr:cNvPr id="483" name="Line 214"/>
        <xdr:cNvSpPr>
          <a:spLocks/>
        </xdr:cNvSpPr>
      </xdr:nvSpPr>
      <xdr:spPr>
        <a:xfrm flipV="1">
          <a:off x="1990725" y="27012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183</xdr:row>
      <xdr:rowOff>123825</xdr:rowOff>
    </xdr:from>
    <xdr:to>
      <xdr:col>10</xdr:col>
      <xdr:colOff>85725</xdr:colOff>
      <xdr:row>186</xdr:row>
      <xdr:rowOff>0</xdr:rowOff>
    </xdr:to>
    <xdr:sp>
      <xdr:nvSpPr>
        <xdr:cNvPr id="484" name="Line 215"/>
        <xdr:cNvSpPr>
          <a:spLocks/>
        </xdr:cNvSpPr>
      </xdr:nvSpPr>
      <xdr:spPr>
        <a:xfrm flipV="1">
          <a:off x="1895475" y="27031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184</xdr:row>
      <xdr:rowOff>19050</xdr:rowOff>
    </xdr:from>
    <xdr:to>
      <xdr:col>10</xdr:col>
      <xdr:colOff>0</xdr:colOff>
      <xdr:row>186</xdr:row>
      <xdr:rowOff>9525</xdr:rowOff>
    </xdr:to>
    <xdr:sp>
      <xdr:nvSpPr>
        <xdr:cNvPr id="485" name="Line 216"/>
        <xdr:cNvSpPr>
          <a:spLocks/>
        </xdr:cNvSpPr>
      </xdr:nvSpPr>
      <xdr:spPr>
        <a:xfrm flipV="1">
          <a:off x="1809750" y="270700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184</xdr:row>
      <xdr:rowOff>38100</xdr:rowOff>
    </xdr:from>
    <xdr:to>
      <xdr:col>9</xdr:col>
      <xdr:colOff>85725</xdr:colOff>
      <xdr:row>186</xdr:row>
      <xdr:rowOff>0</xdr:rowOff>
    </xdr:to>
    <xdr:sp>
      <xdr:nvSpPr>
        <xdr:cNvPr id="486" name="Line 217"/>
        <xdr:cNvSpPr>
          <a:spLocks/>
        </xdr:cNvSpPr>
      </xdr:nvSpPr>
      <xdr:spPr>
        <a:xfrm flipV="1">
          <a:off x="1714500" y="270891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184</xdr:row>
      <xdr:rowOff>76200</xdr:rowOff>
    </xdr:from>
    <xdr:to>
      <xdr:col>9</xdr:col>
      <xdr:colOff>0</xdr:colOff>
      <xdr:row>186</xdr:row>
      <xdr:rowOff>0</xdr:rowOff>
    </xdr:to>
    <xdr:sp>
      <xdr:nvSpPr>
        <xdr:cNvPr id="487" name="Line 218"/>
        <xdr:cNvSpPr>
          <a:spLocks/>
        </xdr:cNvSpPr>
      </xdr:nvSpPr>
      <xdr:spPr>
        <a:xfrm flipV="1">
          <a:off x="1628775" y="27127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184</xdr:row>
      <xdr:rowOff>104775</xdr:rowOff>
    </xdr:from>
    <xdr:to>
      <xdr:col>8</xdr:col>
      <xdr:colOff>85725</xdr:colOff>
      <xdr:row>186</xdr:row>
      <xdr:rowOff>0</xdr:rowOff>
    </xdr:to>
    <xdr:sp>
      <xdr:nvSpPr>
        <xdr:cNvPr id="488" name="Line 219"/>
        <xdr:cNvSpPr>
          <a:spLocks/>
        </xdr:cNvSpPr>
      </xdr:nvSpPr>
      <xdr:spPr>
        <a:xfrm flipV="1">
          <a:off x="1533525" y="27155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189</xdr:row>
      <xdr:rowOff>85725</xdr:rowOff>
    </xdr:from>
    <xdr:to>
      <xdr:col>5</xdr:col>
      <xdr:colOff>0</xdr:colOff>
      <xdr:row>192</xdr:row>
      <xdr:rowOff>19050</xdr:rowOff>
    </xdr:to>
    <xdr:sp>
      <xdr:nvSpPr>
        <xdr:cNvPr id="489" name="Line 220"/>
        <xdr:cNvSpPr>
          <a:spLocks/>
        </xdr:cNvSpPr>
      </xdr:nvSpPr>
      <xdr:spPr>
        <a:xfrm flipV="1">
          <a:off x="904875" y="27870150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193</xdr:row>
      <xdr:rowOff>0</xdr:rowOff>
    </xdr:from>
    <xdr:to>
      <xdr:col>6</xdr:col>
      <xdr:colOff>76200</xdr:colOff>
      <xdr:row>193</xdr:row>
      <xdr:rowOff>0</xdr:rowOff>
    </xdr:to>
    <xdr:sp>
      <xdr:nvSpPr>
        <xdr:cNvPr id="490" name="Line 222"/>
        <xdr:cNvSpPr>
          <a:spLocks/>
        </xdr:cNvSpPr>
      </xdr:nvSpPr>
      <xdr:spPr>
        <a:xfrm>
          <a:off x="904875" y="28355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192</xdr:row>
      <xdr:rowOff>95250</xdr:rowOff>
    </xdr:from>
    <xdr:to>
      <xdr:col>5</xdr:col>
      <xdr:colOff>0</xdr:colOff>
      <xdr:row>193</xdr:row>
      <xdr:rowOff>47625</xdr:rowOff>
    </xdr:to>
    <xdr:sp>
      <xdr:nvSpPr>
        <xdr:cNvPr id="491" name="Line 223"/>
        <xdr:cNvSpPr>
          <a:spLocks/>
        </xdr:cNvSpPr>
      </xdr:nvSpPr>
      <xdr:spPr>
        <a:xfrm>
          <a:off x="904875" y="283083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184</xdr:row>
      <xdr:rowOff>57150</xdr:rowOff>
    </xdr:from>
    <xdr:to>
      <xdr:col>4</xdr:col>
      <xdr:colOff>76200</xdr:colOff>
      <xdr:row>186</xdr:row>
      <xdr:rowOff>104775</xdr:rowOff>
    </xdr:to>
    <xdr:sp>
      <xdr:nvSpPr>
        <xdr:cNvPr id="492" name="Arc 225"/>
        <xdr:cNvSpPr>
          <a:spLocks/>
        </xdr:cNvSpPr>
      </xdr:nvSpPr>
      <xdr:spPr>
        <a:xfrm rot="2508333" flipH="1" flipV="1">
          <a:off x="485775" y="27108150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520</xdr:row>
      <xdr:rowOff>9525</xdr:rowOff>
    </xdr:from>
    <xdr:to>
      <xdr:col>15</xdr:col>
      <xdr:colOff>104775</xdr:colOff>
      <xdr:row>520</xdr:row>
      <xdr:rowOff>123825</xdr:rowOff>
    </xdr:to>
    <xdr:sp>
      <xdr:nvSpPr>
        <xdr:cNvPr id="493" name="AutoShape 226"/>
        <xdr:cNvSpPr>
          <a:spLocks/>
        </xdr:cNvSpPr>
      </xdr:nvSpPr>
      <xdr:spPr>
        <a:xfrm>
          <a:off x="2628900" y="75838050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522</xdr:row>
      <xdr:rowOff>38100</xdr:rowOff>
    </xdr:from>
    <xdr:to>
      <xdr:col>5</xdr:col>
      <xdr:colOff>0</xdr:colOff>
      <xdr:row>523</xdr:row>
      <xdr:rowOff>66675</xdr:rowOff>
    </xdr:to>
    <xdr:sp>
      <xdr:nvSpPr>
        <xdr:cNvPr id="494" name="Line 227"/>
        <xdr:cNvSpPr>
          <a:spLocks/>
        </xdr:cNvSpPr>
      </xdr:nvSpPr>
      <xdr:spPr>
        <a:xfrm>
          <a:off x="904875" y="76180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522</xdr:row>
      <xdr:rowOff>19050</xdr:rowOff>
    </xdr:from>
    <xdr:to>
      <xdr:col>15</xdr:col>
      <xdr:colOff>0</xdr:colOff>
      <xdr:row>523</xdr:row>
      <xdr:rowOff>66675</xdr:rowOff>
    </xdr:to>
    <xdr:sp>
      <xdr:nvSpPr>
        <xdr:cNvPr id="495" name="Line 228"/>
        <xdr:cNvSpPr>
          <a:spLocks/>
        </xdr:cNvSpPr>
      </xdr:nvSpPr>
      <xdr:spPr>
        <a:xfrm>
          <a:off x="2714625" y="76161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523</xdr:row>
      <xdr:rowOff>0</xdr:rowOff>
    </xdr:from>
    <xdr:to>
      <xdr:col>19</xdr:col>
      <xdr:colOff>47625</xdr:colOff>
      <xdr:row>523</xdr:row>
      <xdr:rowOff>0</xdr:rowOff>
    </xdr:to>
    <xdr:sp>
      <xdr:nvSpPr>
        <xdr:cNvPr id="496" name="Line 229"/>
        <xdr:cNvSpPr>
          <a:spLocks/>
        </xdr:cNvSpPr>
      </xdr:nvSpPr>
      <xdr:spPr>
        <a:xfrm>
          <a:off x="828675" y="76285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522</xdr:row>
      <xdr:rowOff>114300</xdr:rowOff>
    </xdr:from>
    <xdr:to>
      <xdr:col>5</xdr:col>
      <xdr:colOff>38100</xdr:colOff>
      <xdr:row>523</xdr:row>
      <xdr:rowOff>28575</xdr:rowOff>
    </xdr:to>
    <xdr:sp>
      <xdr:nvSpPr>
        <xdr:cNvPr id="497" name="Line 230"/>
        <xdr:cNvSpPr>
          <a:spLocks/>
        </xdr:cNvSpPr>
      </xdr:nvSpPr>
      <xdr:spPr>
        <a:xfrm flipH="1">
          <a:off x="866775" y="76257150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522</xdr:row>
      <xdr:rowOff>114300</xdr:rowOff>
    </xdr:from>
    <xdr:to>
      <xdr:col>15</xdr:col>
      <xdr:colOff>38100</xdr:colOff>
      <xdr:row>523</xdr:row>
      <xdr:rowOff>28575</xdr:rowOff>
    </xdr:to>
    <xdr:sp>
      <xdr:nvSpPr>
        <xdr:cNvPr id="498" name="Line 231"/>
        <xdr:cNvSpPr>
          <a:spLocks/>
        </xdr:cNvSpPr>
      </xdr:nvSpPr>
      <xdr:spPr>
        <a:xfrm flipH="1">
          <a:off x="2686050" y="762571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522</xdr:row>
      <xdr:rowOff>104775</xdr:rowOff>
    </xdr:from>
    <xdr:to>
      <xdr:col>19</xdr:col>
      <xdr:colOff>28575</xdr:colOff>
      <xdr:row>523</xdr:row>
      <xdr:rowOff>28575</xdr:rowOff>
    </xdr:to>
    <xdr:sp>
      <xdr:nvSpPr>
        <xdr:cNvPr id="499" name="Line 232"/>
        <xdr:cNvSpPr>
          <a:spLocks/>
        </xdr:cNvSpPr>
      </xdr:nvSpPr>
      <xdr:spPr>
        <a:xfrm flipH="1">
          <a:off x="3409950" y="7624762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521</xdr:row>
      <xdr:rowOff>0</xdr:rowOff>
    </xdr:from>
    <xdr:to>
      <xdr:col>19</xdr:col>
      <xdr:colOff>0</xdr:colOff>
      <xdr:row>523</xdr:row>
      <xdr:rowOff>66675</xdr:rowOff>
    </xdr:to>
    <xdr:sp>
      <xdr:nvSpPr>
        <xdr:cNvPr id="500" name="Line 233"/>
        <xdr:cNvSpPr>
          <a:spLocks/>
        </xdr:cNvSpPr>
      </xdr:nvSpPr>
      <xdr:spPr>
        <a:xfrm>
          <a:off x="3438525" y="759904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523</xdr:row>
      <xdr:rowOff>114300</xdr:rowOff>
    </xdr:from>
    <xdr:to>
      <xdr:col>15</xdr:col>
      <xdr:colOff>0</xdr:colOff>
      <xdr:row>526</xdr:row>
      <xdr:rowOff>0</xdr:rowOff>
    </xdr:to>
    <xdr:sp>
      <xdr:nvSpPr>
        <xdr:cNvPr id="501" name="Line 234"/>
        <xdr:cNvSpPr>
          <a:spLocks/>
        </xdr:cNvSpPr>
      </xdr:nvSpPr>
      <xdr:spPr>
        <a:xfrm flipV="1">
          <a:off x="2714625" y="76400025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527</xdr:row>
      <xdr:rowOff>0</xdr:rowOff>
    </xdr:from>
    <xdr:to>
      <xdr:col>6</xdr:col>
      <xdr:colOff>76200</xdr:colOff>
      <xdr:row>527</xdr:row>
      <xdr:rowOff>0</xdr:rowOff>
    </xdr:to>
    <xdr:sp>
      <xdr:nvSpPr>
        <xdr:cNvPr id="502" name="Line 235"/>
        <xdr:cNvSpPr>
          <a:spLocks/>
        </xdr:cNvSpPr>
      </xdr:nvSpPr>
      <xdr:spPr>
        <a:xfrm>
          <a:off x="904875" y="768572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526</xdr:row>
      <xdr:rowOff>95250</xdr:rowOff>
    </xdr:from>
    <xdr:to>
      <xdr:col>5</xdr:col>
      <xdr:colOff>0</xdr:colOff>
      <xdr:row>527</xdr:row>
      <xdr:rowOff>47625</xdr:rowOff>
    </xdr:to>
    <xdr:sp>
      <xdr:nvSpPr>
        <xdr:cNvPr id="503" name="Line 236"/>
        <xdr:cNvSpPr>
          <a:spLocks/>
        </xdr:cNvSpPr>
      </xdr:nvSpPr>
      <xdr:spPr>
        <a:xfrm>
          <a:off x="904875" y="76809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517</xdr:row>
      <xdr:rowOff>19050</xdr:rowOff>
    </xdr:from>
    <xdr:to>
      <xdr:col>18</xdr:col>
      <xdr:colOff>171450</xdr:colOff>
      <xdr:row>520</xdr:row>
      <xdr:rowOff>0</xdr:rowOff>
    </xdr:to>
    <xdr:sp>
      <xdr:nvSpPr>
        <xdr:cNvPr id="504" name="Line 238"/>
        <xdr:cNvSpPr>
          <a:spLocks/>
        </xdr:cNvSpPr>
      </xdr:nvSpPr>
      <xdr:spPr>
        <a:xfrm>
          <a:off x="3429000" y="75409425"/>
          <a:ext cx="0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523</xdr:row>
      <xdr:rowOff>114300</xdr:rowOff>
    </xdr:from>
    <xdr:to>
      <xdr:col>4</xdr:col>
      <xdr:colOff>171450</xdr:colOff>
      <xdr:row>526</xdr:row>
      <xdr:rowOff>38100</xdr:rowOff>
    </xdr:to>
    <xdr:sp>
      <xdr:nvSpPr>
        <xdr:cNvPr id="505" name="Line 239"/>
        <xdr:cNvSpPr>
          <a:spLocks/>
        </xdr:cNvSpPr>
      </xdr:nvSpPr>
      <xdr:spPr>
        <a:xfrm flipV="1">
          <a:off x="895350" y="76400025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518</xdr:row>
      <xdr:rowOff>66675</xdr:rowOff>
    </xdr:from>
    <xdr:to>
      <xdr:col>4</xdr:col>
      <xdr:colOff>47625</xdr:colOff>
      <xdr:row>520</xdr:row>
      <xdr:rowOff>114300</xdr:rowOff>
    </xdr:to>
    <xdr:sp>
      <xdr:nvSpPr>
        <xdr:cNvPr id="506" name="Arc 240"/>
        <xdr:cNvSpPr>
          <a:spLocks/>
        </xdr:cNvSpPr>
      </xdr:nvSpPr>
      <xdr:spPr>
        <a:xfrm rot="2699122" flipH="1" flipV="1">
          <a:off x="457200" y="75599925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545</xdr:row>
      <xdr:rowOff>114300</xdr:rowOff>
    </xdr:from>
    <xdr:to>
      <xdr:col>5</xdr:col>
      <xdr:colOff>9525</xdr:colOff>
      <xdr:row>548</xdr:row>
      <xdr:rowOff>38100</xdr:rowOff>
    </xdr:to>
    <xdr:sp>
      <xdr:nvSpPr>
        <xdr:cNvPr id="507" name="Line 241"/>
        <xdr:cNvSpPr>
          <a:spLocks/>
        </xdr:cNvSpPr>
      </xdr:nvSpPr>
      <xdr:spPr>
        <a:xfrm flipV="1">
          <a:off x="914400" y="79600425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542</xdr:row>
      <xdr:rowOff>9525</xdr:rowOff>
    </xdr:from>
    <xdr:to>
      <xdr:col>15</xdr:col>
      <xdr:colOff>104775</xdr:colOff>
      <xdr:row>542</xdr:row>
      <xdr:rowOff>123825</xdr:rowOff>
    </xdr:to>
    <xdr:sp>
      <xdr:nvSpPr>
        <xdr:cNvPr id="508" name="AutoShape 242"/>
        <xdr:cNvSpPr>
          <a:spLocks/>
        </xdr:cNvSpPr>
      </xdr:nvSpPr>
      <xdr:spPr>
        <a:xfrm>
          <a:off x="2628900" y="79038450"/>
          <a:ext cx="190500" cy="114300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38100</xdr:rowOff>
    </xdr:from>
    <xdr:to>
      <xdr:col>5</xdr:col>
      <xdr:colOff>0</xdr:colOff>
      <xdr:row>545</xdr:row>
      <xdr:rowOff>66675</xdr:rowOff>
    </xdr:to>
    <xdr:sp>
      <xdr:nvSpPr>
        <xdr:cNvPr id="509" name="Line 243"/>
        <xdr:cNvSpPr>
          <a:spLocks/>
        </xdr:cNvSpPr>
      </xdr:nvSpPr>
      <xdr:spPr>
        <a:xfrm>
          <a:off x="904875" y="79381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544</xdr:row>
      <xdr:rowOff>19050</xdr:rowOff>
    </xdr:from>
    <xdr:to>
      <xdr:col>15</xdr:col>
      <xdr:colOff>0</xdr:colOff>
      <xdr:row>545</xdr:row>
      <xdr:rowOff>66675</xdr:rowOff>
    </xdr:to>
    <xdr:sp>
      <xdr:nvSpPr>
        <xdr:cNvPr id="510" name="Line 244"/>
        <xdr:cNvSpPr>
          <a:spLocks/>
        </xdr:cNvSpPr>
      </xdr:nvSpPr>
      <xdr:spPr>
        <a:xfrm>
          <a:off x="2714625" y="793623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545</xdr:row>
      <xdr:rowOff>0</xdr:rowOff>
    </xdr:from>
    <xdr:to>
      <xdr:col>19</xdr:col>
      <xdr:colOff>47625</xdr:colOff>
      <xdr:row>545</xdr:row>
      <xdr:rowOff>0</xdr:rowOff>
    </xdr:to>
    <xdr:sp>
      <xdr:nvSpPr>
        <xdr:cNvPr id="511" name="Line 245"/>
        <xdr:cNvSpPr>
          <a:spLocks/>
        </xdr:cNvSpPr>
      </xdr:nvSpPr>
      <xdr:spPr>
        <a:xfrm>
          <a:off x="828675" y="79486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544</xdr:row>
      <xdr:rowOff>114300</xdr:rowOff>
    </xdr:from>
    <xdr:to>
      <xdr:col>5</xdr:col>
      <xdr:colOff>38100</xdr:colOff>
      <xdr:row>545</xdr:row>
      <xdr:rowOff>28575</xdr:rowOff>
    </xdr:to>
    <xdr:sp>
      <xdr:nvSpPr>
        <xdr:cNvPr id="512" name="Line 246"/>
        <xdr:cNvSpPr>
          <a:spLocks/>
        </xdr:cNvSpPr>
      </xdr:nvSpPr>
      <xdr:spPr>
        <a:xfrm flipH="1">
          <a:off x="866775" y="79457550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544</xdr:row>
      <xdr:rowOff>114300</xdr:rowOff>
    </xdr:from>
    <xdr:to>
      <xdr:col>15</xdr:col>
      <xdr:colOff>38100</xdr:colOff>
      <xdr:row>545</xdr:row>
      <xdr:rowOff>28575</xdr:rowOff>
    </xdr:to>
    <xdr:sp>
      <xdr:nvSpPr>
        <xdr:cNvPr id="513" name="Line 247"/>
        <xdr:cNvSpPr>
          <a:spLocks/>
        </xdr:cNvSpPr>
      </xdr:nvSpPr>
      <xdr:spPr>
        <a:xfrm flipH="1">
          <a:off x="2686050" y="794575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544</xdr:row>
      <xdr:rowOff>104775</xdr:rowOff>
    </xdr:from>
    <xdr:to>
      <xdr:col>19</xdr:col>
      <xdr:colOff>28575</xdr:colOff>
      <xdr:row>545</xdr:row>
      <xdr:rowOff>28575</xdr:rowOff>
    </xdr:to>
    <xdr:sp>
      <xdr:nvSpPr>
        <xdr:cNvPr id="514" name="Line 248"/>
        <xdr:cNvSpPr>
          <a:spLocks/>
        </xdr:cNvSpPr>
      </xdr:nvSpPr>
      <xdr:spPr>
        <a:xfrm flipH="1">
          <a:off x="3409950" y="7944802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543</xdr:row>
      <xdr:rowOff>0</xdr:rowOff>
    </xdr:from>
    <xdr:to>
      <xdr:col>19</xdr:col>
      <xdr:colOff>0</xdr:colOff>
      <xdr:row>545</xdr:row>
      <xdr:rowOff>66675</xdr:rowOff>
    </xdr:to>
    <xdr:sp>
      <xdr:nvSpPr>
        <xdr:cNvPr id="515" name="Line 249"/>
        <xdr:cNvSpPr>
          <a:spLocks/>
        </xdr:cNvSpPr>
      </xdr:nvSpPr>
      <xdr:spPr>
        <a:xfrm>
          <a:off x="3438525" y="791908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545</xdr:row>
      <xdr:rowOff>114300</xdr:rowOff>
    </xdr:from>
    <xdr:to>
      <xdr:col>15</xdr:col>
      <xdr:colOff>0</xdr:colOff>
      <xdr:row>548</xdr:row>
      <xdr:rowOff>0</xdr:rowOff>
    </xdr:to>
    <xdr:sp>
      <xdr:nvSpPr>
        <xdr:cNvPr id="516" name="Line 250"/>
        <xdr:cNvSpPr>
          <a:spLocks/>
        </xdr:cNvSpPr>
      </xdr:nvSpPr>
      <xdr:spPr>
        <a:xfrm flipV="1">
          <a:off x="2714625" y="79600425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549</xdr:row>
      <xdr:rowOff>0</xdr:rowOff>
    </xdr:from>
    <xdr:to>
      <xdr:col>6</xdr:col>
      <xdr:colOff>76200</xdr:colOff>
      <xdr:row>549</xdr:row>
      <xdr:rowOff>0</xdr:rowOff>
    </xdr:to>
    <xdr:sp>
      <xdr:nvSpPr>
        <xdr:cNvPr id="517" name="Line 251"/>
        <xdr:cNvSpPr>
          <a:spLocks/>
        </xdr:cNvSpPr>
      </xdr:nvSpPr>
      <xdr:spPr>
        <a:xfrm>
          <a:off x="904875" y="80057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548</xdr:row>
      <xdr:rowOff>95250</xdr:rowOff>
    </xdr:from>
    <xdr:to>
      <xdr:col>5</xdr:col>
      <xdr:colOff>0</xdr:colOff>
      <xdr:row>549</xdr:row>
      <xdr:rowOff>47625</xdr:rowOff>
    </xdr:to>
    <xdr:sp>
      <xdr:nvSpPr>
        <xdr:cNvPr id="518" name="Line 252"/>
        <xdr:cNvSpPr>
          <a:spLocks/>
        </xdr:cNvSpPr>
      </xdr:nvSpPr>
      <xdr:spPr>
        <a:xfrm>
          <a:off x="904875" y="80010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539</xdr:row>
      <xdr:rowOff>38100</xdr:rowOff>
    </xdr:from>
    <xdr:to>
      <xdr:col>12</xdr:col>
      <xdr:colOff>66675</xdr:colOff>
      <xdr:row>541</xdr:row>
      <xdr:rowOff>76200</xdr:rowOff>
    </xdr:to>
    <xdr:sp>
      <xdr:nvSpPr>
        <xdr:cNvPr id="519" name="Line 254"/>
        <xdr:cNvSpPr>
          <a:spLocks/>
        </xdr:cNvSpPr>
      </xdr:nvSpPr>
      <xdr:spPr>
        <a:xfrm flipH="1" flipV="1">
          <a:off x="2066925" y="78628875"/>
          <a:ext cx="171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540</xdr:row>
      <xdr:rowOff>66675</xdr:rowOff>
    </xdr:from>
    <xdr:to>
      <xdr:col>4</xdr:col>
      <xdr:colOff>47625</xdr:colOff>
      <xdr:row>542</xdr:row>
      <xdr:rowOff>114300</xdr:rowOff>
    </xdr:to>
    <xdr:sp>
      <xdr:nvSpPr>
        <xdr:cNvPr id="520" name="Arc 255"/>
        <xdr:cNvSpPr>
          <a:spLocks/>
        </xdr:cNvSpPr>
      </xdr:nvSpPr>
      <xdr:spPr>
        <a:xfrm rot="2699122" flipH="1" flipV="1">
          <a:off x="457200" y="78800325"/>
          <a:ext cx="314325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6</xdr:row>
      <xdr:rowOff>9525</xdr:rowOff>
    </xdr:from>
    <xdr:to>
      <xdr:col>6</xdr:col>
      <xdr:colOff>85725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019175" y="923925"/>
          <a:ext cx="152400" cy="142875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</xdr:row>
      <xdr:rowOff>9525</xdr:rowOff>
    </xdr:from>
    <xdr:to>
      <xdr:col>16</xdr:col>
      <xdr:colOff>85725</xdr:colOff>
      <xdr:row>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828925" y="923925"/>
          <a:ext cx="152400" cy="142875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57150</xdr:rowOff>
    </xdr:from>
    <xdr:to>
      <xdr:col>6</xdr:col>
      <xdr:colOff>0</xdr:colOff>
      <xdr:row>10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1085850" y="1114425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7</xdr:row>
      <xdr:rowOff>57150</xdr:rowOff>
    </xdr:from>
    <xdr:to>
      <xdr:col>16</xdr:col>
      <xdr:colOff>123825</xdr:colOff>
      <xdr:row>7</xdr:row>
      <xdr:rowOff>57150</xdr:rowOff>
    </xdr:to>
    <xdr:sp>
      <xdr:nvSpPr>
        <xdr:cNvPr id="4" name="Line 4"/>
        <xdr:cNvSpPr>
          <a:spLocks/>
        </xdr:cNvSpPr>
      </xdr:nvSpPr>
      <xdr:spPr>
        <a:xfrm>
          <a:off x="2762250" y="1114425"/>
          <a:ext cx="2571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171450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>
          <a:off x="904875" y="1066800"/>
          <a:ext cx="3524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4</xdr:col>
      <xdr:colOff>95250</xdr:colOff>
      <xdr:row>7</xdr:row>
      <xdr:rowOff>0</xdr:rowOff>
    </xdr:to>
    <xdr:sp>
      <xdr:nvSpPr>
        <xdr:cNvPr id="6" name="Line 7"/>
        <xdr:cNvSpPr>
          <a:spLocks/>
        </xdr:cNvSpPr>
      </xdr:nvSpPr>
      <xdr:spPr>
        <a:xfrm>
          <a:off x="400050" y="1057275"/>
          <a:ext cx="41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66675</xdr:rowOff>
    </xdr:from>
    <xdr:to>
      <xdr:col>16</xdr:col>
      <xdr:colOff>0</xdr:colOff>
      <xdr:row>10</xdr:row>
      <xdr:rowOff>38100</xdr:rowOff>
    </xdr:to>
    <xdr:sp>
      <xdr:nvSpPr>
        <xdr:cNvPr id="7" name="Line 8"/>
        <xdr:cNvSpPr>
          <a:spLocks/>
        </xdr:cNvSpPr>
      </xdr:nvSpPr>
      <xdr:spPr>
        <a:xfrm flipV="1">
          <a:off x="2895600" y="1123950"/>
          <a:ext cx="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11</xdr:col>
      <xdr:colOff>0</xdr:colOff>
      <xdr:row>5</xdr:row>
      <xdr:rowOff>95250</xdr:rowOff>
    </xdr:to>
    <xdr:sp>
      <xdr:nvSpPr>
        <xdr:cNvPr id="8" name="Line 9"/>
        <xdr:cNvSpPr>
          <a:spLocks/>
        </xdr:cNvSpPr>
      </xdr:nvSpPr>
      <xdr:spPr>
        <a:xfrm flipV="1">
          <a:off x="1638300" y="55245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</xdr:row>
      <xdr:rowOff>0</xdr:rowOff>
    </xdr:from>
    <xdr:to>
      <xdr:col>16</xdr:col>
      <xdr:colOff>85725</xdr:colOff>
      <xdr:row>9</xdr:row>
      <xdr:rowOff>0</xdr:rowOff>
    </xdr:to>
    <xdr:sp>
      <xdr:nvSpPr>
        <xdr:cNvPr id="9" name="Line 10"/>
        <xdr:cNvSpPr>
          <a:spLocks/>
        </xdr:cNvSpPr>
      </xdr:nvSpPr>
      <xdr:spPr>
        <a:xfrm>
          <a:off x="981075" y="13430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8</xdr:row>
      <xdr:rowOff>114300</xdr:rowOff>
    </xdr:from>
    <xdr:to>
      <xdr:col>6</xdr:col>
      <xdr:colOff>47625</xdr:colOff>
      <xdr:row>9</xdr:row>
      <xdr:rowOff>57150</xdr:rowOff>
    </xdr:to>
    <xdr:sp>
      <xdr:nvSpPr>
        <xdr:cNvPr id="10" name="Line 11"/>
        <xdr:cNvSpPr>
          <a:spLocks/>
        </xdr:cNvSpPr>
      </xdr:nvSpPr>
      <xdr:spPr>
        <a:xfrm flipH="1">
          <a:off x="1028700" y="131445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8</xdr:row>
      <xdr:rowOff>114300</xdr:rowOff>
    </xdr:from>
    <xdr:to>
      <xdr:col>16</xdr:col>
      <xdr:colOff>57150</xdr:colOff>
      <xdr:row>9</xdr:row>
      <xdr:rowOff>38100</xdr:rowOff>
    </xdr:to>
    <xdr:sp>
      <xdr:nvSpPr>
        <xdr:cNvPr id="11" name="Line 12"/>
        <xdr:cNvSpPr>
          <a:spLocks/>
        </xdr:cNvSpPr>
      </xdr:nvSpPr>
      <xdr:spPr>
        <a:xfrm flipH="1">
          <a:off x="2847975" y="1314450"/>
          <a:ext cx="1047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23</xdr:row>
      <xdr:rowOff>9525</xdr:rowOff>
    </xdr:from>
    <xdr:to>
      <xdr:col>6</xdr:col>
      <xdr:colOff>85725</xdr:colOff>
      <xdr:row>24</xdr:row>
      <xdr:rowOff>9525</xdr:rowOff>
    </xdr:to>
    <xdr:sp>
      <xdr:nvSpPr>
        <xdr:cNvPr id="12" name="AutoShape 13"/>
        <xdr:cNvSpPr>
          <a:spLocks/>
        </xdr:cNvSpPr>
      </xdr:nvSpPr>
      <xdr:spPr>
        <a:xfrm>
          <a:off x="1019175" y="3409950"/>
          <a:ext cx="152400" cy="142875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23</xdr:row>
      <xdr:rowOff>9525</xdr:rowOff>
    </xdr:from>
    <xdr:to>
      <xdr:col>16</xdr:col>
      <xdr:colOff>85725</xdr:colOff>
      <xdr:row>24</xdr:row>
      <xdr:rowOff>9525</xdr:rowOff>
    </xdr:to>
    <xdr:sp>
      <xdr:nvSpPr>
        <xdr:cNvPr id="13" name="AutoShape 14"/>
        <xdr:cNvSpPr>
          <a:spLocks/>
        </xdr:cNvSpPr>
      </xdr:nvSpPr>
      <xdr:spPr>
        <a:xfrm>
          <a:off x="2828925" y="3409950"/>
          <a:ext cx="152400" cy="142875"/>
        </a:xfrm>
        <a:prstGeom prst="triangle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6</xdr:col>
      <xdr:colOff>0</xdr:colOff>
      <xdr:row>27</xdr:row>
      <xdr:rowOff>66675</xdr:rowOff>
    </xdr:to>
    <xdr:sp>
      <xdr:nvSpPr>
        <xdr:cNvPr id="14" name="Line 15"/>
        <xdr:cNvSpPr>
          <a:spLocks/>
        </xdr:cNvSpPr>
      </xdr:nvSpPr>
      <xdr:spPr>
        <a:xfrm flipV="1">
          <a:off x="1085850" y="3600450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24</xdr:row>
      <xdr:rowOff>57150</xdr:rowOff>
    </xdr:from>
    <xdr:to>
      <xdr:col>16</xdr:col>
      <xdr:colOff>123825</xdr:colOff>
      <xdr:row>24</xdr:row>
      <xdr:rowOff>57150</xdr:rowOff>
    </xdr:to>
    <xdr:sp>
      <xdr:nvSpPr>
        <xdr:cNvPr id="15" name="Line 16"/>
        <xdr:cNvSpPr>
          <a:spLocks/>
        </xdr:cNvSpPr>
      </xdr:nvSpPr>
      <xdr:spPr>
        <a:xfrm>
          <a:off x="2762250" y="3600450"/>
          <a:ext cx="2571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6</xdr:col>
      <xdr:colOff>171450</xdr:colOff>
      <xdr:row>24</xdr:row>
      <xdr:rowOff>9525</xdr:rowOff>
    </xdr:to>
    <xdr:sp>
      <xdr:nvSpPr>
        <xdr:cNvPr id="16" name="Line 17"/>
        <xdr:cNvSpPr>
          <a:spLocks/>
        </xdr:cNvSpPr>
      </xdr:nvSpPr>
      <xdr:spPr>
        <a:xfrm>
          <a:off x="904875" y="3552825"/>
          <a:ext cx="3524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4</xdr:col>
      <xdr:colOff>95250</xdr:colOff>
      <xdr:row>24</xdr:row>
      <xdr:rowOff>0</xdr:rowOff>
    </xdr:to>
    <xdr:sp>
      <xdr:nvSpPr>
        <xdr:cNvPr id="17" name="Line 18"/>
        <xdr:cNvSpPr>
          <a:spLocks/>
        </xdr:cNvSpPr>
      </xdr:nvSpPr>
      <xdr:spPr>
        <a:xfrm>
          <a:off x="400050" y="3543300"/>
          <a:ext cx="41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66675</xdr:rowOff>
    </xdr:from>
    <xdr:to>
      <xdr:col>16</xdr:col>
      <xdr:colOff>0</xdr:colOff>
      <xdr:row>27</xdr:row>
      <xdr:rowOff>38100</xdr:rowOff>
    </xdr:to>
    <xdr:sp>
      <xdr:nvSpPr>
        <xdr:cNvPr id="18" name="Line 19"/>
        <xdr:cNvSpPr>
          <a:spLocks/>
        </xdr:cNvSpPr>
      </xdr:nvSpPr>
      <xdr:spPr>
        <a:xfrm flipV="1">
          <a:off x="2895600" y="3609975"/>
          <a:ext cx="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21</xdr:row>
      <xdr:rowOff>9525</xdr:rowOff>
    </xdr:from>
    <xdr:to>
      <xdr:col>7</xdr:col>
      <xdr:colOff>142875</xdr:colOff>
      <xdr:row>22</xdr:row>
      <xdr:rowOff>76200</xdr:rowOff>
    </xdr:to>
    <xdr:sp>
      <xdr:nvSpPr>
        <xdr:cNvPr id="19" name="Line 20"/>
        <xdr:cNvSpPr>
          <a:spLocks/>
        </xdr:cNvSpPr>
      </xdr:nvSpPr>
      <xdr:spPr>
        <a:xfrm flipH="1" flipV="1">
          <a:off x="1209675" y="3105150"/>
          <a:ext cx="200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0</xdr:rowOff>
    </xdr:from>
    <xdr:to>
      <xdr:col>16</xdr:col>
      <xdr:colOff>85725</xdr:colOff>
      <xdr:row>26</xdr:row>
      <xdr:rowOff>0</xdr:rowOff>
    </xdr:to>
    <xdr:sp>
      <xdr:nvSpPr>
        <xdr:cNvPr id="20" name="Line 21"/>
        <xdr:cNvSpPr>
          <a:spLocks/>
        </xdr:cNvSpPr>
      </xdr:nvSpPr>
      <xdr:spPr>
        <a:xfrm>
          <a:off x="981075" y="38290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104775</xdr:rowOff>
    </xdr:from>
    <xdr:to>
      <xdr:col>6</xdr:col>
      <xdr:colOff>47625</xdr:colOff>
      <xdr:row>26</xdr:row>
      <xdr:rowOff>47625</xdr:rowOff>
    </xdr:to>
    <xdr:sp>
      <xdr:nvSpPr>
        <xdr:cNvPr id="21" name="Line 22"/>
        <xdr:cNvSpPr>
          <a:spLocks/>
        </xdr:cNvSpPr>
      </xdr:nvSpPr>
      <xdr:spPr>
        <a:xfrm flipH="1">
          <a:off x="1028700" y="379095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25</xdr:row>
      <xdr:rowOff>114300</xdr:rowOff>
    </xdr:from>
    <xdr:to>
      <xdr:col>16</xdr:col>
      <xdr:colOff>57150</xdr:colOff>
      <xdr:row>26</xdr:row>
      <xdr:rowOff>38100</xdr:rowOff>
    </xdr:to>
    <xdr:sp>
      <xdr:nvSpPr>
        <xdr:cNvPr id="22" name="Line 23"/>
        <xdr:cNvSpPr>
          <a:spLocks/>
        </xdr:cNvSpPr>
      </xdr:nvSpPr>
      <xdr:spPr>
        <a:xfrm flipH="1">
          <a:off x="2847975" y="3800475"/>
          <a:ext cx="1047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9525</xdr:rowOff>
    </xdr:from>
    <xdr:to>
      <xdr:col>10</xdr:col>
      <xdr:colOff>0</xdr:colOff>
      <xdr:row>26</xdr:row>
      <xdr:rowOff>85725</xdr:rowOff>
    </xdr:to>
    <xdr:sp>
      <xdr:nvSpPr>
        <xdr:cNvPr id="23" name="Line 24"/>
        <xdr:cNvSpPr>
          <a:spLocks/>
        </xdr:cNvSpPr>
      </xdr:nvSpPr>
      <xdr:spPr>
        <a:xfrm>
          <a:off x="1809750" y="35528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104775</xdr:rowOff>
    </xdr:from>
    <xdr:to>
      <xdr:col>10</xdr:col>
      <xdr:colOff>47625</xdr:colOff>
      <xdr:row>26</xdr:row>
      <xdr:rowOff>47625</xdr:rowOff>
    </xdr:to>
    <xdr:sp>
      <xdr:nvSpPr>
        <xdr:cNvPr id="24" name="Line 25"/>
        <xdr:cNvSpPr>
          <a:spLocks/>
        </xdr:cNvSpPr>
      </xdr:nvSpPr>
      <xdr:spPr>
        <a:xfrm flipH="1">
          <a:off x="1771650" y="3790950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95250</xdr:rowOff>
    </xdr:from>
    <xdr:to>
      <xdr:col>10</xdr:col>
      <xdr:colOff>0</xdr:colOff>
      <xdr:row>22</xdr:row>
      <xdr:rowOff>142875</xdr:rowOff>
    </xdr:to>
    <xdr:sp>
      <xdr:nvSpPr>
        <xdr:cNvPr id="25" name="Line 26"/>
        <xdr:cNvSpPr>
          <a:spLocks/>
        </xdr:cNvSpPr>
      </xdr:nvSpPr>
      <xdr:spPr>
        <a:xfrm>
          <a:off x="1809750" y="2895600"/>
          <a:ext cx="0" cy="495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0</xdr:rowOff>
    </xdr:from>
    <xdr:to>
      <xdr:col>16</xdr:col>
      <xdr:colOff>85725</xdr:colOff>
      <xdr:row>28</xdr:row>
      <xdr:rowOff>0</xdr:rowOff>
    </xdr:to>
    <xdr:sp>
      <xdr:nvSpPr>
        <xdr:cNvPr id="26" name="Line 27"/>
        <xdr:cNvSpPr>
          <a:spLocks/>
        </xdr:cNvSpPr>
      </xdr:nvSpPr>
      <xdr:spPr>
        <a:xfrm>
          <a:off x="981075" y="41148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0</xdr:colOff>
      <xdr:row>28</xdr:row>
      <xdr:rowOff>76200</xdr:rowOff>
    </xdr:to>
    <xdr:sp>
      <xdr:nvSpPr>
        <xdr:cNvPr id="27" name="Line 28"/>
        <xdr:cNvSpPr>
          <a:spLocks/>
        </xdr:cNvSpPr>
      </xdr:nvSpPr>
      <xdr:spPr>
        <a:xfrm>
          <a:off x="10858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76200</xdr:rowOff>
    </xdr:from>
    <xdr:to>
      <xdr:col>16</xdr:col>
      <xdr:colOff>0</xdr:colOff>
      <xdr:row>28</xdr:row>
      <xdr:rowOff>76200</xdr:rowOff>
    </xdr:to>
    <xdr:sp>
      <xdr:nvSpPr>
        <xdr:cNvPr id="28" name="Line 29"/>
        <xdr:cNvSpPr>
          <a:spLocks/>
        </xdr:cNvSpPr>
      </xdr:nvSpPr>
      <xdr:spPr>
        <a:xfrm>
          <a:off x="2895600" y="4048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27</xdr:row>
      <xdr:rowOff>104775</xdr:rowOff>
    </xdr:from>
    <xdr:to>
      <xdr:col>6</xdr:col>
      <xdr:colOff>47625</xdr:colOff>
      <xdr:row>28</xdr:row>
      <xdr:rowOff>38100</xdr:rowOff>
    </xdr:to>
    <xdr:sp>
      <xdr:nvSpPr>
        <xdr:cNvPr id="29" name="Line 30"/>
        <xdr:cNvSpPr>
          <a:spLocks/>
        </xdr:cNvSpPr>
      </xdr:nvSpPr>
      <xdr:spPr>
        <a:xfrm flipH="1">
          <a:off x="1047750" y="407670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27</xdr:row>
      <xdr:rowOff>104775</xdr:rowOff>
    </xdr:from>
    <xdr:to>
      <xdr:col>16</xdr:col>
      <xdr:colOff>47625</xdr:colOff>
      <xdr:row>28</xdr:row>
      <xdr:rowOff>47625</xdr:rowOff>
    </xdr:to>
    <xdr:sp>
      <xdr:nvSpPr>
        <xdr:cNvPr id="30" name="Line 31"/>
        <xdr:cNvSpPr>
          <a:spLocks/>
        </xdr:cNvSpPr>
      </xdr:nvSpPr>
      <xdr:spPr>
        <a:xfrm flipH="1">
          <a:off x="2838450" y="407670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85725</xdr:rowOff>
    </xdr:from>
    <xdr:to>
      <xdr:col>9</xdr:col>
      <xdr:colOff>0</xdr:colOff>
      <xdr:row>40</xdr:row>
      <xdr:rowOff>95250</xdr:rowOff>
    </xdr:to>
    <xdr:sp>
      <xdr:nvSpPr>
        <xdr:cNvPr id="31" name="Line 32"/>
        <xdr:cNvSpPr>
          <a:spLocks/>
        </xdr:cNvSpPr>
      </xdr:nvSpPr>
      <xdr:spPr>
        <a:xfrm flipV="1">
          <a:off x="1276350" y="5667375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39</xdr:row>
      <xdr:rowOff>66675</xdr:rowOff>
    </xdr:from>
    <xdr:to>
      <xdr:col>3</xdr:col>
      <xdr:colOff>104775</xdr:colOff>
      <xdr:row>41</xdr:row>
      <xdr:rowOff>104775</xdr:rowOff>
    </xdr:to>
    <xdr:sp>
      <xdr:nvSpPr>
        <xdr:cNvPr id="32" name="Arc 33"/>
        <xdr:cNvSpPr>
          <a:spLocks/>
        </xdr:cNvSpPr>
      </xdr:nvSpPr>
      <xdr:spPr>
        <a:xfrm rot="2699122" flipH="1" flipV="1">
          <a:off x="304800" y="5791200"/>
          <a:ext cx="342900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39</xdr:row>
      <xdr:rowOff>38100</xdr:rowOff>
    </xdr:from>
    <xdr:to>
      <xdr:col>16</xdr:col>
      <xdr:colOff>76200</xdr:colOff>
      <xdr:row>41</xdr:row>
      <xdr:rowOff>76200</xdr:rowOff>
    </xdr:to>
    <xdr:sp>
      <xdr:nvSpPr>
        <xdr:cNvPr id="33" name="Arc 34"/>
        <xdr:cNvSpPr>
          <a:spLocks/>
        </xdr:cNvSpPr>
      </xdr:nvSpPr>
      <xdr:spPr>
        <a:xfrm rot="12931383" flipH="1" flipV="1">
          <a:off x="2628900" y="5762625"/>
          <a:ext cx="342900" cy="342900"/>
        </a:xfrm>
        <a:prstGeom prst="arc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142875</xdr:rowOff>
    </xdr:from>
    <xdr:to>
      <xdr:col>4</xdr:col>
      <xdr:colOff>9525</xdr:colOff>
      <xdr:row>40</xdr:row>
      <xdr:rowOff>142875</xdr:rowOff>
    </xdr:to>
    <xdr:sp>
      <xdr:nvSpPr>
        <xdr:cNvPr id="34" name="Line 36"/>
        <xdr:cNvSpPr>
          <a:spLocks/>
        </xdr:cNvSpPr>
      </xdr:nvSpPr>
      <xdr:spPr>
        <a:xfrm>
          <a:off x="209550" y="6019800"/>
          <a:ext cx="52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44</xdr:row>
      <xdr:rowOff>114300</xdr:rowOff>
    </xdr:to>
    <xdr:sp>
      <xdr:nvSpPr>
        <xdr:cNvPr id="35" name="Line 37"/>
        <xdr:cNvSpPr>
          <a:spLocks/>
        </xdr:cNvSpPr>
      </xdr:nvSpPr>
      <xdr:spPr>
        <a:xfrm flipV="1">
          <a:off x="723900" y="62388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42</xdr:row>
      <xdr:rowOff>76200</xdr:rowOff>
    </xdr:from>
    <xdr:to>
      <xdr:col>14</xdr:col>
      <xdr:colOff>9525</xdr:colOff>
      <xdr:row>44</xdr:row>
      <xdr:rowOff>114300</xdr:rowOff>
    </xdr:to>
    <xdr:sp>
      <xdr:nvSpPr>
        <xdr:cNvPr id="36" name="Line 38"/>
        <xdr:cNvSpPr>
          <a:spLocks/>
        </xdr:cNvSpPr>
      </xdr:nvSpPr>
      <xdr:spPr>
        <a:xfrm flipV="1">
          <a:off x="2543175" y="625792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40</xdr:row>
      <xdr:rowOff>142875</xdr:rowOff>
    </xdr:from>
    <xdr:to>
      <xdr:col>17</xdr:col>
      <xdr:colOff>9525</xdr:colOff>
      <xdr:row>40</xdr:row>
      <xdr:rowOff>142875</xdr:rowOff>
    </xdr:to>
    <xdr:sp>
      <xdr:nvSpPr>
        <xdr:cNvPr id="37" name="Line 39"/>
        <xdr:cNvSpPr>
          <a:spLocks/>
        </xdr:cNvSpPr>
      </xdr:nvSpPr>
      <xdr:spPr>
        <a:xfrm flipH="1">
          <a:off x="2562225" y="6019800"/>
          <a:ext cx="52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44</xdr:row>
      <xdr:rowOff>0</xdr:rowOff>
    </xdr:from>
    <xdr:to>
      <xdr:col>14</xdr:col>
      <xdr:colOff>76200</xdr:colOff>
      <xdr:row>44</xdr:row>
      <xdr:rowOff>0</xdr:rowOff>
    </xdr:to>
    <xdr:sp>
      <xdr:nvSpPr>
        <xdr:cNvPr id="38" name="Line 40"/>
        <xdr:cNvSpPr>
          <a:spLocks/>
        </xdr:cNvSpPr>
      </xdr:nvSpPr>
      <xdr:spPr>
        <a:xfrm>
          <a:off x="647700" y="64865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43</xdr:row>
      <xdr:rowOff>114300</xdr:rowOff>
    </xdr:from>
    <xdr:to>
      <xdr:col>4</xdr:col>
      <xdr:colOff>47625</xdr:colOff>
      <xdr:row>44</xdr:row>
      <xdr:rowOff>47625</xdr:rowOff>
    </xdr:to>
    <xdr:sp>
      <xdr:nvSpPr>
        <xdr:cNvPr id="39" name="Line 41"/>
        <xdr:cNvSpPr>
          <a:spLocks/>
        </xdr:cNvSpPr>
      </xdr:nvSpPr>
      <xdr:spPr>
        <a:xfrm flipH="1">
          <a:off x="666750" y="6457950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43</xdr:row>
      <xdr:rowOff>114300</xdr:rowOff>
    </xdr:from>
    <xdr:to>
      <xdr:col>14</xdr:col>
      <xdr:colOff>57150</xdr:colOff>
      <xdr:row>44</xdr:row>
      <xdr:rowOff>47625</xdr:rowOff>
    </xdr:to>
    <xdr:sp>
      <xdr:nvSpPr>
        <xdr:cNvPr id="40" name="Line 42"/>
        <xdr:cNvSpPr>
          <a:spLocks/>
        </xdr:cNvSpPr>
      </xdr:nvSpPr>
      <xdr:spPr>
        <a:xfrm flipH="1">
          <a:off x="2495550" y="6457950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61"/>
  <sheetViews>
    <sheetView showGridLines="0" tabSelected="1" workbookViewId="0" topLeftCell="A1">
      <selection activeCell="AZ3" sqref="AZ3"/>
    </sheetView>
  </sheetViews>
  <sheetFormatPr defaultColWidth="9.140625" defaultRowHeight="12.75"/>
  <cols>
    <col min="1" max="16384" width="2.7109375" style="27" customWidth="1"/>
  </cols>
  <sheetData>
    <row r="1" spans="2:77" ht="37.5" customHeight="1" thickBot="1">
      <c r="B1" s="68" t="s">
        <v>201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9"/>
      <c r="BT1" s="29"/>
      <c r="BU1" s="29"/>
      <c r="BV1" s="29"/>
      <c r="BW1" s="29"/>
      <c r="BX1" s="29"/>
      <c r="BY1" s="29"/>
    </row>
    <row r="2" spans="1:72" ht="12" thickTop="1">
      <c r="A2" s="29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E2" s="31"/>
      <c r="AF2" s="31"/>
      <c r="AG2" s="31"/>
      <c r="AH2" s="31"/>
      <c r="AI2" s="31"/>
      <c r="AJ2" s="31"/>
      <c r="AK2" s="32"/>
      <c r="AL2" s="32"/>
      <c r="AM2" s="32"/>
      <c r="AN2" s="32"/>
      <c r="AO2" s="32"/>
      <c r="AP2" s="32"/>
      <c r="AQ2" s="32"/>
      <c r="AR2" s="32"/>
      <c r="AS2" s="32"/>
      <c r="AT2" s="33"/>
      <c r="BT2" s="29"/>
    </row>
    <row r="3" spans="1:72" ht="11.25">
      <c r="A3" s="29"/>
      <c r="B3" s="34"/>
      <c r="C3" s="29"/>
      <c r="D3" s="29"/>
      <c r="E3" s="29"/>
      <c r="J3" s="27" t="s">
        <v>24</v>
      </c>
      <c r="K3" s="65">
        <v>2.56</v>
      </c>
      <c r="L3" s="65"/>
      <c r="M3" s="27" t="s">
        <v>69</v>
      </c>
      <c r="R3" s="29"/>
      <c r="S3" s="29"/>
      <c r="T3" s="29"/>
      <c r="U3" s="29"/>
      <c r="V3" s="29"/>
      <c r="X3" s="61" t="s">
        <v>251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T3" s="23"/>
      <c r="BT3" s="29"/>
    </row>
    <row r="4" spans="1:72" ht="11.25">
      <c r="A4" s="29"/>
      <c r="B4" s="34"/>
      <c r="C4" s="29"/>
      <c r="D4" s="29"/>
      <c r="E4" s="24"/>
      <c r="R4" s="29"/>
      <c r="S4" s="29"/>
      <c r="T4" s="29"/>
      <c r="U4" s="29"/>
      <c r="V4" s="29"/>
      <c r="W4" s="29" t="s">
        <v>49</v>
      </c>
      <c r="X4" s="65">
        <v>21000</v>
      </c>
      <c r="Y4" s="65"/>
      <c r="Z4" s="29" t="s">
        <v>53</v>
      </c>
      <c r="AB4" s="29"/>
      <c r="AC4" s="29"/>
      <c r="AD4" s="29"/>
      <c r="AE4" s="29"/>
      <c r="AF4" s="29"/>
      <c r="AG4" s="29"/>
      <c r="AH4" s="29"/>
      <c r="AI4" s="29"/>
      <c r="AJ4" s="29"/>
      <c r="AT4" s="23"/>
      <c r="BT4" s="29"/>
    </row>
    <row r="5" spans="1:72" ht="12" thickBot="1">
      <c r="A5" s="29"/>
      <c r="B5" s="34"/>
      <c r="C5" s="29"/>
      <c r="D5" s="29"/>
      <c r="E5" s="24"/>
      <c r="F5" s="25"/>
      <c r="G5" s="26"/>
      <c r="H5" s="26"/>
      <c r="I5" s="26"/>
      <c r="J5" s="26"/>
      <c r="K5" s="26"/>
      <c r="L5" s="26"/>
      <c r="M5" s="26"/>
      <c r="N5" s="26"/>
      <c r="O5" s="35"/>
      <c r="P5" s="27" t="s">
        <v>42</v>
      </c>
      <c r="R5" s="29"/>
      <c r="S5" s="29"/>
      <c r="T5" s="29"/>
      <c r="U5" s="29"/>
      <c r="V5" s="29"/>
      <c r="W5" s="29" t="s">
        <v>50</v>
      </c>
      <c r="X5" s="65">
        <v>5645</v>
      </c>
      <c r="Y5" s="65"/>
      <c r="Z5" s="29" t="s">
        <v>54</v>
      </c>
      <c r="AB5" s="29"/>
      <c r="AC5" s="29"/>
      <c r="AD5" s="29"/>
      <c r="AE5" s="29"/>
      <c r="AF5" s="29"/>
      <c r="AG5" s="29"/>
      <c r="AH5" s="29"/>
      <c r="AI5" s="29"/>
      <c r="AJ5" s="29"/>
      <c r="AT5" s="23"/>
      <c r="BT5" s="29"/>
    </row>
    <row r="6" spans="1:72" ht="12.75" thickBot="1" thickTop="1">
      <c r="A6" s="29"/>
      <c r="B6" s="34"/>
      <c r="C6" s="29"/>
      <c r="D6" s="29"/>
      <c r="E6" s="24"/>
      <c r="F6" s="36" t="s">
        <v>41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T6" s="23"/>
      <c r="BT6" s="29"/>
    </row>
    <row r="7" spans="1:72" ht="12" thickTop="1">
      <c r="A7" s="29"/>
      <c r="B7" s="34"/>
      <c r="C7" s="29" t="s">
        <v>20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7"/>
      <c r="P7" s="37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T7" s="23"/>
      <c r="BT7" s="29"/>
    </row>
    <row r="8" spans="1:72" ht="11.25">
      <c r="A8" s="29"/>
      <c r="B8" s="34"/>
      <c r="C8" s="29"/>
      <c r="D8" s="29"/>
      <c r="E8" s="29"/>
      <c r="F8" s="29"/>
      <c r="G8" s="29"/>
      <c r="H8" s="29"/>
      <c r="I8" s="29" t="s">
        <v>25</v>
      </c>
      <c r="J8" s="65">
        <v>3.5</v>
      </c>
      <c r="K8" s="65"/>
      <c r="L8" s="27" t="s">
        <v>15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T8" s="23"/>
      <c r="BT8" s="29"/>
    </row>
    <row r="9" spans="1:72" ht="11.25">
      <c r="A9" s="29"/>
      <c r="B9" s="3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38" t="s">
        <v>197</v>
      </c>
      <c r="AG9" s="29"/>
      <c r="AH9" s="29"/>
      <c r="AI9" s="29"/>
      <c r="AJ9" s="29"/>
      <c r="AT9" s="23"/>
      <c r="BT9" s="29"/>
    </row>
    <row r="10" spans="1:72" ht="11.25">
      <c r="A10" s="29"/>
      <c r="B10" s="3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T10" s="23"/>
      <c r="BT10" s="29"/>
    </row>
    <row r="11" spans="1:72" ht="11.25">
      <c r="A11" s="29"/>
      <c r="B11" s="34"/>
      <c r="C11" s="29"/>
      <c r="E11" s="29" t="s">
        <v>35</v>
      </c>
      <c r="F11" s="29"/>
      <c r="G11" s="29"/>
      <c r="H11" s="29"/>
      <c r="I11" s="29"/>
      <c r="J11" s="29"/>
      <c r="K11" s="29"/>
      <c r="L11" s="29"/>
      <c r="M11" s="29"/>
      <c r="N11" s="29"/>
      <c r="O11" s="29" t="s">
        <v>36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T11" s="23"/>
      <c r="BT11" s="29"/>
    </row>
    <row r="12" spans="1:72" ht="11.25">
      <c r="A12" s="29"/>
      <c r="B12" s="34"/>
      <c r="C12" s="29"/>
      <c r="D12" s="29"/>
      <c r="E12" s="29"/>
      <c r="F12" s="29"/>
      <c r="G12" s="29" t="s">
        <v>43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AE12" s="29"/>
      <c r="AF12" s="29"/>
      <c r="AG12" s="29"/>
      <c r="AH12" s="29"/>
      <c r="AI12" s="29"/>
      <c r="AJ12" s="29"/>
      <c r="AT12" s="23"/>
      <c r="BT12" s="29"/>
    </row>
    <row r="13" spans="1:72" ht="11.25">
      <c r="A13" s="29"/>
      <c r="B13" s="34"/>
      <c r="C13" s="29"/>
      <c r="D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T13" s="23"/>
      <c r="BT13" s="29"/>
    </row>
    <row r="14" spans="1:72" ht="11.25">
      <c r="A14" s="29"/>
      <c r="B14" s="34"/>
      <c r="D14" s="29" t="s">
        <v>37</v>
      </c>
      <c r="E14" s="29"/>
      <c r="F14" s="39"/>
      <c r="G14" s="39"/>
      <c r="H14" s="39"/>
      <c r="I14" s="39">
        <v>5</v>
      </c>
      <c r="J14" s="39" t="s">
        <v>4</v>
      </c>
      <c r="K14" s="63">
        <f>+K3</f>
        <v>2.56</v>
      </c>
      <c r="L14" s="63"/>
      <c r="M14" s="39" t="s">
        <v>4</v>
      </c>
      <c r="N14" s="69">
        <f>+J8</f>
        <v>3.5</v>
      </c>
      <c r="O14" s="69"/>
      <c r="P14" s="29" t="s">
        <v>6</v>
      </c>
      <c r="Q14" s="36">
        <v>8</v>
      </c>
      <c r="R14" s="36" t="s">
        <v>7</v>
      </c>
      <c r="S14" s="62">
        <f>+I14*K14*N14/Q14</f>
        <v>5.6000000000000005</v>
      </c>
      <c r="T14" s="62"/>
      <c r="U14" s="29" t="s">
        <v>55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T14" s="23"/>
      <c r="BT14" s="29"/>
    </row>
    <row r="15" spans="1:72" ht="11.25">
      <c r="A15" s="29"/>
      <c r="B15" s="34"/>
      <c r="D15" s="29" t="s">
        <v>38</v>
      </c>
      <c r="E15" s="29"/>
      <c r="F15" s="39"/>
      <c r="G15" s="39"/>
      <c r="H15" s="39"/>
      <c r="I15" s="39">
        <v>3</v>
      </c>
      <c r="J15" s="39" t="s">
        <v>4</v>
      </c>
      <c r="K15" s="63">
        <f>+K3</f>
        <v>2.56</v>
      </c>
      <c r="L15" s="63"/>
      <c r="M15" s="39" t="s">
        <v>4</v>
      </c>
      <c r="N15" s="69">
        <f>+J8</f>
        <v>3.5</v>
      </c>
      <c r="O15" s="69"/>
      <c r="P15" s="29" t="s">
        <v>6</v>
      </c>
      <c r="Q15" s="36">
        <v>8</v>
      </c>
      <c r="R15" s="36" t="s">
        <v>7</v>
      </c>
      <c r="S15" s="62">
        <f>+I15*K15*N15/Q15</f>
        <v>3.36</v>
      </c>
      <c r="T15" s="62"/>
      <c r="U15" s="29" t="s">
        <v>55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T15" s="23"/>
      <c r="BT15" s="29"/>
    </row>
    <row r="16" spans="1:72" ht="11.25">
      <c r="A16" s="29"/>
      <c r="B16" s="34"/>
      <c r="D16" s="29" t="s">
        <v>40</v>
      </c>
      <c r="E16" s="29"/>
      <c r="I16" s="63">
        <f>+K3</f>
        <v>2.56</v>
      </c>
      <c r="J16" s="63"/>
      <c r="K16" s="39" t="s">
        <v>4</v>
      </c>
      <c r="L16" s="63">
        <f>+J8</f>
        <v>3.5</v>
      </c>
      <c r="M16" s="63"/>
      <c r="N16" s="29" t="s">
        <v>23</v>
      </c>
      <c r="O16" s="29">
        <v>8</v>
      </c>
      <c r="P16" s="39" t="s">
        <v>7</v>
      </c>
      <c r="Q16" s="69">
        <f>+I16*L16^2/O16</f>
        <v>3.92</v>
      </c>
      <c r="R16" s="69"/>
      <c r="S16" s="29" t="s">
        <v>57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T16" s="23"/>
      <c r="BT16" s="29"/>
    </row>
    <row r="17" spans="1:72" ht="11.25">
      <c r="A17" s="29"/>
      <c r="B17" s="34"/>
      <c r="D17" s="29" t="s">
        <v>39</v>
      </c>
      <c r="E17" s="29"/>
      <c r="F17" s="39"/>
      <c r="G17" s="39"/>
      <c r="H17" s="39"/>
      <c r="I17" s="39"/>
      <c r="J17" s="39">
        <v>9</v>
      </c>
      <c r="K17" s="39" t="s">
        <v>4</v>
      </c>
      <c r="L17" s="63">
        <f>+K3</f>
        <v>2.56</v>
      </c>
      <c r="M17" s="63"/>
      <c r="N17" s="39" t="s">
        <v>4</v>
      </c>
      <c r="O17" s="69">
        <f>+J8</f>
        <v>3.5</v>
      </c>
      <c r="P17" s="69"/>
      <c r="Q17" s="29" t="s">
        <v>23</v>
      </c>
      <c r="R17" s="62">
        <v>128</v>
      </c>
      <c r="S17" s="62"/>
      <c r="T17" s="36" t="s">
        <v>7</v>
      </c>
      <c r="U17" s="62">
        <f>+J17*L17*O17^2/R17</f>
        <v>2.205</v>
      </c>
      <c r="V17" s="62"/>
      <c r="W17" s="29" t="s">
        <v>58</v>
      </c>
      <c r="X17" s="29"/>
      <c r="Y17" s="29"/>
      <c r="AC17" s="29"/>
      <c r="AD17" s="29"/>
      <c r="AE17" s="29"/>
      <c r="AF17" s="29"/>
      <c r="AG17" s="29"/>
      <c r="AH17" s="29"/>
      <c r="AI17" s="29"/>
      <c r="AJ17" s="29"/>
      <c r="AT17" s="23"/>
      <c r="BT17" s="29"/>
    </row>
    <row r="18" spans="1:72" ht="11.25">
      <c r="A18" s="29"/>
      <c r="B18" s="34"/>
      <c r="D18" s="29" t="s">
        <v>44</v>
      </c>
      <c r="E18" s="29"/>
      <c r="F18" s="39"/>
      <c r="G18" s="39"/>
      <c r="H18" s="39"/>
      <c r="I18" s="39"/>
      <c r="J18" s="39"/>
      <c r="K18" s="39"/>
      <c r="L18" s="39"/>
      <c r="M18" s="39"/>
      <c r="N18" s="39">
        <v>5</v>
      </c>
      <c r="O18" s="40" t="s">
        <v>4</v>
      </c>
      <c r="P18" s="69">
        <f>+J8</f>
        <v>3.5</v>
      </c>
      <c r="Q18" s="69"/>
      <c r="R18" s="36" t="s">
        <v>45</v>
      </c>
      <c r="S18" s="36">
        <v>8</v>
      </c>
      <c r="T18" s="36" t="s">
        <v>7</v>
      </c>
      <c r="U18" s="62">
        <f>+N18*P18/S18</f>
        <v>2.1875</v>
      </c>
      <c r="V18" s="62"/>
      <c r="W18" s="29" t="s">
        <v>15</v>
      </c>
      <c r="X18" s="29"/>
      <c r="Y18" s="29"/>
      <c r="AC18" s="29"/>
      <c r="AD18" s="29"/>
      <c r="AE18" s="29"/>
      <c r="AF18" s="29"/>
      <c r="AG18" s="29"/>
      <c r="AH18" s="29"/>
      <c r="AI18" s="29"/>
      <c r="AJ18" s="29"/>
      <c r="AT18" s="23"/>
      <c r="BT18" s="29"/>
    </row>
    <row r="19" spans="1:72" ht="11.25">
      <c r="A19" s="29"/>
      <c r="B19" s="34"/>
      <c r="D19" s="29" t="s">
        <v>48</v>
      </c>
      <c r="E19" s="29"/>
      <c r="F19" s="39"/>
      <c r="G19" s="39"/>
      <c r="H19" s="39"/>
      <c r="I19" s="39"/>
      <c r="J19" s="39"/>
      <c r="K19" s="39"/>
      <c r="L19" s="39"/>
      <c r="M19" s="39"/>
      <c r="N19" s="63">
        <f>+K3/100</f>
        <v>0.0256</v>
      </c>
      <c r="O19" s="63"/>
      <c r="P19" s="40" t="s">
        <v>4</v>
      </c>
      <c r="Q19" s="63">
        <f>+J8*100</f>
        <v>350</v>
      </c>
      <c r="R19" s="63"/>
      <c r="S19" s="41" t="s">
        <v>47</v>
      </c>
      <c r="T19" s="62">
        <v>185</v>
      </c>
      <c r="U19" s="62"/>
      <c r="V19" s="36" t="s">
        <v>4</v>
      </c>
      <c r="W19" s="63">
        <f>+X4</f>
        <v>21000</v>
      </c>
      <c r="X19" s="63"/>
      <c r="Y19" s="39" t="s">
        <v>4</v>
      </c>
      <c r="Z19" s="62">
        <f>+X5</f>
        <v>5645</v>
      </c>
      <c r="AA19" s="62"/>
      <c r="AB19" s="27" t="s">
        <v>31</v>
      </c>
      <c r="AC19" s="62">
        <f>+N19*Q19^4/(T19*W19*Z19)</f>
        <v>0.017516896879164374</v>
      </c>
      <c r="AD19" s="62"/>
      <c r="AE19" s="62"/>
      <c r="AF19" s="29" t="s">
        <v>51</v>
      </c>
      <c r="AG19" s="29"/>
      <c r="AH19" s="29"/>
      <c r="AI19" s="29"/>
      <c r="AJ19" s="29"/>
      <c r="AT19" s="23"/>
      <c r="BT19" s="29"/>
    </row>
    <row r="20" spans="1:72" ht="11.25">
      <c r="A20" s="29"/>
      <c r="B20" s="34"/>
      <c r="D20" s="29" t="s">
        <v>56</v>
      </c>
      <c r="E20" s="29"/>
      <c r="F20" s="39"/>
      <c r="G20" s="39"/>
      <c r="H20" s="39"/>
      <c r="I20" s="39"/>
      <c r="J20" s="39"/>
      <c r="K20" s="39"/>
      <c r="L20" s="39"/>
      <c r="M20" s="39"/>
      <c r="N20" s="39"/>
      <c r="O20" s="40"/>
      <c r="P20" s="40">
        <v>15</v>
      </c>
      <c r="Q20" s="29" t="s">
        <v>52</v>
      </c>
      <c r="R20" s="36"/>
      <c r="S20" s="36"/>
      <c r="T20" s="62">
        <f>+J8</f>
        <v>3.5</v>
      </c>
      <c r="U20" s="62"/>
      <c r="V20" s="36" t="s">
        <v>6</v>
      </c>
      <c r="W20" s="29">
        <v>16</v>
      </c>
      <c r="X20" s="39" t="s">
        <v>7</v>
      </c>
      <c r="Y20" s="62">
        <f>(P20-SQRT(33))*T20/W20</f>
        <v>2.0246269210698062</v>
      </c>
      <c r="Z20" s="62"/>
      <c r="AA20" s="27" t="s">
        <v>15</v>
      </c>
      <c r="AC20" s="29"/>
      <c r="AD20" s="29"/>
      <c r="AE20" s="29"/>
      <c r="AF20" s="29"/>
      <c r="AG20" s="29"/>
      <c r="AH20" s="29"/>
      <c r="AI20" s="29"/>
      <c r="AJ20" s="29"/>
      <c r="AT20" s="23"/>
      <c r="BT20" s="29"/>
    </row>
    <row r="21" spans="2:46" ht="12" thickBot="1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T21" s="23"/>
    </row>
    <row r="22" spans="1:72" ht="12" thickTop="1">
      <c r="A22" s="29"/>
      <c r="B22" s="34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E22" s="29"/>
      <c r="AF22" s="29"/>
      <c r="AG22" s="29"/>
      <c r="AH22" s="29"/>
      <c r="AI22" s="31"/>
      <c r="AJ22" s="31"/>
      <c r="AK22" s="32"/>
      <c r="AL22" s="32"/>
      <c r="AM22" s="32"/>
      <c r="AN22" s="32"/>
      <c r="AO22" s="32"/>
      <c r="AP22" s="32"/>
      <c r="AQ22" s="32"/>
      <c r="AR22" s="32"/>
      <c r="AS22" s="32"/>
      <c r="AT22" s="33"/>
      <c r="BT22" s="29"/>
    </row>
    <row r="23" spans="1:72" ht="11.25">
      <c r="A23" s="29"/>
      <c r="B23" s="34"/>
      <c r="C23" s="29"/>
      <c r="D23" s="29"/>
      <c r="E23" s="29"/>
      <c r="F23" s="29"/>
      <c r="G23" s="29"/>
      <c r="H23" s="29"/>
      <c r="I23" s="29"/>
      <c r="J23" s="27" t="s">
        <v>24</v>
      </c>
      <c r="K23" s="65">
        <v>2.56</v>
      </c>
      <c r="L23" s="65"/>
      <c r="M23" s="27" t="s">
        <v>69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T23" s="23"/>
      <c r="BT23" s="29"/>
    </row>
    <row r="24" spans="1:72" ht="11.25">
      <c r="A24" s="29"/>
      <c r="B24" s="3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61" t="s">
        <v>251</v>
      </c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T24" s="23"/>
      <c r="BT24" s="29"/>
    </row>
    <row r="25" spans="1:72" ht="11.25">
      <c r="A25" s="29"/>
      <c r="B25" s="34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 t="s">
        <v>49</v>
      </c>
      <c r="X25" s="65">
        <v>21000</v>
      </c>
      <c r="Y25" s="65"/>
      <c r="Z25" s="29" t="s">
        <v>53</v>
      </c>
      <c r="AB25" s="29"/>
      <c r="AC25" s="29"/>
      <c r="AD25" s="29"/>
      <c r="AE25" s="29"/>
      <c r="AF25" s="29"/>
      <c r="AG25" s="29"/>
      <c r="AH25" s="29"/>
      <c r="AI25" s="29"/>
      <c r="AJ25" s="29"/>
      <c r="AT25" s="23"/>
      <c r="BT25" s="29"/>
    </row>
    <row r="26" spans="1:72" ht="11.25">
      <c r="A26" s="29"/>
      <c r="B26" s="34"/>
      <c r="C26" s="29"/>
      <c r="D26" s="29"/>
      <c r="E26" s="29"/>
      <c r="R26" s="29"/>
      <c r="S26" s="29"/>
      <c r="T26" s="29"/>
      <c r="U26" s="29"/>
      <c r="V26" s="29"/>
      <c r="W26" s="29" t="s">
        <v>50</v>
      </c>
      <c r="X26" s="65">
        <v>5645</v>
      </c>
      <c r="Y26" s="65"/>
      <c r="Z26" s="29" t="s">
        <v>54</v>
      </c>
      <c r="AB26" s="29"/>
      <c r="AC26" s="29"/>
      <c r="AD26" s="29"/>
      <c r="AE26" s="29"/>
      <c r="AF26" s="29"/>
      <c r="AG26" s="29"/>
      <c r="AH26" s="29"/>
      <c r="AI26" s="29"/>
      <c r="AJ26" s="29"/>
      <c r="AT26" s="23"/>
      <c r="BT26" s="29"/>
    </row>
    <row r="27" spans="1:72" ht="11.25">
      <c r="A27" s="29"/>
      <c r="B27" s="34"/>
      <c r="C27" s="29"/>
      <c r="D27" s="29"/>
      <c r="E27" s="24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T27" s="23"/>
      <c r="BT27" s="29"/>
    </row>
    <row r="28" spans="1:72" ht="12" thickBot="1">
      <c r="A28" s="29"/>
      <c r="B28" s="34"/>
      <c r="C28" s="29"/>
      <c r="D28" s="29"/>
      <c r="E28" s="24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27" t="s">
        <v>42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T28" s="23"/>
      <c r="BT28" s="29"/>
    </row>
    <row r="29" spans="1:72" ht="12.75" thickBot="1" thickTop="1">
      <c r="A29" s="29"/>
      <c r="B29" s="34"/>
      <c r="C29" s="29"/>
      <c r="D29" s="29"/>
      <c r="E29" s="24"/>
      <c r="F29" s="36" t="s">
        <v>41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T29" s="23"/>
      <c r="BT29" s="29"/>
    </row>
    <row r="30" spans="1:72" ht="12" thickTop="1">
      <c r="A30" s="29"/>
      <c r="B30" s="34"/>
      <c r="C30" s="29" t="s">
        <v>20</v>
      </c>
      <c r="D30" s="29"/>
      <c r="E30" s="29"/>
      <c r="F30" s="29"/>
      <c r="G30" s="29"/>
      <c r="H30" s="29"/>
      <c r="I30" s="29"/>
      <c r="J30" s="29"/>
      <c r="N30" s="29"/>
      <c r="O30" s="37"/>
      <c r="P30" s="37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8" t="s">
        <v>197</v>
      </c>
      <c r="AG30" s="29"/>
      <c r="AH30" s="29"/>
      <c r="AI30" s="29"/>
      <c r="AJ30" s="29"/>
      <c r="AT30" s="23"/>
      <c r="BT30" s="29"/>
    </row>
    <row r="31" spans="1:72" ht="11.25">
      <c r="A31" s="29"/>
      <c r="B31" s="34"/>
      <c r="C31" s="29"/>
      <c r="D31" s="29"/>
      <c r="E31" s="29"/>
      <c r="F31" s="29"/>
      <c r="G31" s="29"/>
      <c r="H31" s="29"/>
      <c r="I31" s="29" t="s">
        <v>25</v>
      </c>
      <c r="J31" s="65">
        <v>7.7</v>
      </c>
      <c r="K31" s="65"/>
      <c r="L31" s="27" t="s">
        <v>15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T31" s="23"/>
      <c r="BT31" s="29"/>
    </row>
    <row r="32" spans="1:72" ht="11.25">
      <c r="A32" s="29"/>
      <c r="B32" s="3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T32" s="23"/>
      <c r="BT32" s="29"/>
    </row>
    <row r="33" spans="1:72" ht="11.25">
      <c r="A33" s="29"/>
      <c r="B33" s="3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T33" s="23"/>
      <c r="BT33" s="29"/>
    </row>
    <row r="34" spans="1:72" ht="11.25">
      <c r="A34" s="29"/>
      <c r="B34" s="34"/>
      <c r="C34" s="29"/>
      <c r="D34" s="29"/>
      <c r="E34" s="29" t="s">
        <v>35</v>
      </c>
      <c r="F34" s="29"/>
      <c r="G34" s="29"/>
      <c r="H34" s="29"/>
      <c r="I34" s="29"/>
      <c r="J34" s="29"/>
      <c r="K34" s="29"/>
      <c r="L34" s="29"/>
      <c r="M34" s="29"/>
      <c r="N34" s="29"/>
      <c r="O34" s="29" t="s">
        <v>36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T34" s="23"/>
      <c r="BT34" s="29"/>
    </row>
    <row r="35" spans="1:72" ht="11.25">
      <c r="A35" s="29"/>
      <c r="B35" s="34"/>
      <c r="C35" s="29"/>
      <c r="D35" s="29"/>
      <c r="E35" s="29"/>
      <c r="F35" s="29"/>
      <c r="G35" s="29" t="s">
        <v>43</v>
      </c>
      <c r="H35" s="29"/>
      <c r="I35" s="29"/>
      <c r="J35" s="29"/>
      <c r="K35" s="29"/>
      <c r="L35" s="29"/>
      <c r="M35" s="29"/>
      <c r="N35" s="29"/>
      <c r="O35" s="29"/>
      <c r="P35" s="29"/>
      <c r="AC35" s="29"/>
      <c r="AD35" s="29"/>
      <c r="AE35" s="29"/>
      <c r="AF35" s="29"/>
      <c r="AG35" s="29"/>
      <c r="AH35" s="29"/>
      <c r="AI35" s="29"/>
      <c r="AJ35" s="29"/>
      <c r="AT35" s="23"/>
      <c r="BT35" s="29"/>
    </row>
    <row r="36" spans="1:72" ht="11.25">
      <c r="A36" s="29"/>
      <c r="B36" s="3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AC36" s="29"/>
      <c r="AD36" s="29"/>
      <c r="AE36" s="29"/>
      <c r="AF36" s="29"/>
      <c r="AG36" s="29"/>
      <c r="AH36" s="29"/>
      <c r="AI36" s="29"/>
      <c r="AJ36" s="29"/>
      <c r="AT36" s="23"/>
      <c r="BT36" s="29"/>
    </row>
    <row r="37" spans="1:72" ht="11.25">
      <c r="A37" s="29"/>
      <c r="B37" s="34"/>
      <c r="C37" s="29"/>
      <c r="D37" s="29" t="s">
        <v>60</v>
      </c>
      <c r="E37" s="29"/>
      <c r="F37" s="39"/>
      <c r="G37" s="39"/>
      <c r="H37" s="39"/>
      <c r="I37" s="39">
        <v>2</v>
      </c>
      <c r="J37" s="39" t="s">
        <v>4</v>
      </c>
      <c r="K37" s="63">
        <f>+K23</f>
        <v>2.56</v>
      </c>
      <c r="L37" s="63"/>
      <c r="M37" s="39" t="s">
        <v>4</v>
      </c>
      <c r="N37" s="69">
        <f>+J31</f>
        <v>7.7</v>
      </c>
      <c r="O37" s="69"/>
      <c r="P37" s="29" t="s">
        <v>6</v>
      </c>
      <c r="Q37" s="36">
        <v>5</v>
      </c>
      <c r="R37" s="36" t="s">
        <v>7</v>
      </c>
      <c r="S37" s="62">
        <f>+I37*K37*N37/Q37</f>
        <v>7.8848</v>
      </c>
      <c r="T37" s="62"/>
      <c r="U37" s="29" t="s">
        <v>55</v>
      </c>
      <c r="AD37" s="29"/>
      <c r="AE37" s="29"/>
      <c r="AF37" s="29"/>
      <c r="AG37" s="29"/>
      <c r="AH37" s="29"/>
      <c r="AI37" s="29"/>
      <c r="AJ37" s="29"/>
      <c r="AT37" s="23"/>
      <c r="BT37" s="29"/>
    </row>
    <row r="38" spans="1:72" ht="11.25">
      <c r="A38" s="29"/>
      <c r="B38" s="34"/>
      <c r="C38" s="29"/>
      <c r="D38" s="29" t="s">
        <v>61</v>
      </c>
      <c r="E38" s="29"/>
      <c r="F38" s="39"/>
      <c r="G38" s="39"/>
      <c r="H38" s="39"/>
      <c r="I38" s="63">
        <f>+K23</f>
        <v>2.56</v>
      </c>
      <c r="J38" s="63"/>
      <c r="K38" s="39" t="s">
        <v>4</v>
      </c>
      <c r="L38" s="69">
        <f>+J31</f>
        <v>7.7</v>
      </c>
      <c r="M38" s="69"/>
      <c r="N38" s="29" t="s">
        <v>6</v>
      </c>
      <c r="O38" s="36">
        <v>10</v>
      </c>
      <c r="P38" s="36" t="s">
        <v>7</v>
      </c>
      <c r="Q38" s="62">
        <f>I38*L38/O38</f>
        <v>1.9712</v>
      </c>
      <c r="R38" s="62"/>
      <c r="S38" s="29" t="s">
        <v>55</v>
      </c>
      <c r="AD38" s="29"/>
      <c r="AE38" s="29"/>
      <c r="AF38" s="29"/>
      <c r="AG38" s="29"/>
      <c r="AH38" s="29"/>
      <c r="AI38" s="29"/>
      <c r="AJ38" s="29"/>
      <c r="AT38" s="23"/>
      <c r="BT38" s="29"/>
    </row>
    <row r="39" spans="1:72" ht="11.25">
      <c r="A39" s="29"/>
      <c r="B39" s="34"/>
      <c r="C39" s="29"/>
      <c r="D39" s="29" t="s">
        <v>59</v>
      </c>
      <c r="I39" s="63">
        <f>+K23</f>
        <v>2.56</v>
      </c>
      <c r="J39" s="63"/>
      <c r="K39" s="39" t="s">
        <v>4</v>
      </c>
      <c r="L39" s="63">
        <f>+J31</f>
        <v>7.7</v>
      </c>
      <c r="M39" s="63"/>
      <c r="N39" s="29" t="s">
        <v>23</v>
      </c>
      <c r="O39" s="29">
        <v>15</v>
      </c>
      <c r="P39" s="29" t="s">
        <v>7</v>
      </c>
      <c r="Q39" s="70">
        <f>+I39*L39*L39/O39</f>
        <v>10.118826666666667</v>
      </c>
      <c r="R39" s="70"/>
      <c r="S39" s="29" t="s">
        <v>57</v>
      </c>
      <c r="AD39" s="29"/>
      <c r="AE39" s="29"/>
      <c r="AF39" s="29"/>
      <c r="AG39" s="29"/>
      <c r="AH39" s="29"/>
      <c r="AI39" s="29"/>
      <c r="AJ39" s="29"/>
      <c r="AT39" s="23"/>
      <c r="BT39" s="29"/>
    </row>
    <row r="40" spans="1:72" ht="11.25">
      <c r="A40" s="29"/>
      <c r="B40" s="34"/>
      <c r="C40" s="29"/>
      <c r="D40" s="29" t="s">
        <v>62</v>
      </c>
      <c r="E40" s="29"/>
      <c r="F40" s="39"/>
      <c r="G40" s="39"/>
      <c r="H40" s="39"/>
      <c r="I40" s="39"/>
      <c r="J40" s="39"/>
      <c r="K40" s="46">
        <v>5</v>
      </c>
      <c r="L40" s="40" t="s">
        <v>4</v>
      </c>
      <c r="M40" s="69">
        <f>+K23</f>
        <v>2.56</v>
      </c>
      <c r="N40" s="69"/>
      <c r="O40" s="36" t="s">
        <v>4</v>
      </c>
      <c r="P40" s="62">
        <f>+J31</f>
        <v>7.7</v>
      </c>
      <c r="Q40" s="62"/>
      <c r="R40" s="36" t="s">
        <v>23</v>
      </c>
      <c r="S40" s="29">
        <v>75</v>
      </c>
      <c r="T40" s="36" t="s">
        <v>7</v>
      </c>
      <c r="U40" s="62">
        <f>SQRT(K40)*M40*P40^2/S40</f>
        <v>4.525276855840855</v>
      </c>
      <c r="V40" s="62"/>
      <c r="W40" s="29" t="s">
        <v>58</v>
      </c>
      <c r="AD40" s="29"/>
      <c r="AE40" s="29"/>
      <c r="AF40" s="29"/>
      <c r="AG40" s="29"/>
      <c r="AH40" s="29"/>
      <c r="AI40" s="29"/>
      <c r="AJ40" s="29"/>
      <c r="AT40" s="23"/>
      <c r="BT40" s="29"/>
    </row>
    <row r="41" spans="1:72" ht="11.25">
      <c r="A41" s="29"/>
      <c r="B41" s="34"/>
      <c r="C41" s="29"/>
      <c r="D41" s="29" t="s">
        <v>65</v>
      </c>
      <c r="E41" s="29"/>
      <c r="F41" s="39"/>
      <c r="G41" s="39"/>
      <c r="H41" s="39"/>
      <c r="I41" s="39"/>
      <c r="J41" s="39"/>
      <c r="K41" s="39"/>
      <c r="L41" s="39"/>
      <c r="M41" s="39"/>
      <c r="P41" s="27">
        <v>1</v>
      </c>
      <c r="Q41" s="29" t="s">
        <v>63</v>
      </c>
      <c r="R41" s="47">
        <v>5</v>
      </c>
      <c r="S41" s="27" t="s">
        <v>6</v>
      </c>
      <c r="T41" s="27">
        <v>5</v>
      </c>
      <c r="U41" s="27" t="s">
        <v>64</v>
      </c>
      <c r="V41" s="62">
        <f>+J31</f>
        <v>7.7</v>
      </c>
      <c r="W41" s="62"/>
      <c r="X41" s="36" t="s">
        <v>7</v>
      </c>
      <c r="Y41" s="62">
        <f>(P41-SQRT(R41)/T41)*V41</f>
        <v>4.2564553146503235</v>
      </c>
      <c r="Z41" s="62"/>
      <c r="AA41" s="27" t="s">
        <v>15</v>
      </c>
      <c r="AD41" s="29"/>
      <c r="AE41" s="29"/>
      <c r="AF41" s="29"/>
      <c r="AG41" s="29"/>
      <c r="AH41" s="29"/>
      <c r="AI41" s="29"/>
      <c r="AJ41" s="29"/>
      <c r="AT41" s="23"/>
      <c r="BT41" s="29"/>
    </row>
    <row r="42" spans="1:72" ht="11.25">
      <c r="A42" s="29"/>
      <c r="B42" s="34"/>
      <c r="C42" s="29"/>
      <c r="D42" s="29" t="s">
        <v>66</v>
      </c>
      <c r="E42" s="29"/>
      <c r="F42" s="39"/>
      <c r="G42" s="39"/>
      <c r="H42" s="39"/>
      <c r="I42" s="39"/>
      <c r="J42" s="39"/>
      <c r="K42" s="39"/>
      <c r="L42" s="40"/>
      <c r="M42" s="40"/>
      <c r="P42" s="27">
        <v>2</v>
      </c>
      <c r="Q42" s="27" t="s">
        <v>67</v>
      </c>
      <c r="R42" s="47">
        <v>5</v>
      </c>
      <c r="S42" s="27" t="s">
        <v>4</v>
      </c>
      <c r="T42" s="62">
        <f>+K23/100</f>
        <v>0.0256</v>
      </c>
      <c r="U42" s="62"/>
      <c r="V42" s="29" t="s">
        <v>4</v>
      </c>
      <c r="W42" s="63">
        <f>+J31*100</f>
        <v>770</v>
      </c>
      <c r="X42" s="63"/>
      <c r="Y42" s="48" t="s">
        <v>46</v>
      </c>
      <c r="Z42" s="62">
        <v>1875</v>
      </c>
      <c r="AA42" s="62"/>
      <c r="AB42" s="36" t="s">
        <v>4</v>
      </c>
      <c r="AC42" s="63">
        <f>+X25</f>
        <v>21000</v>
      </c>
      <c r="AD42" s="63"/>
      <c r="AE42" s="39" t="s">
        <v>4</v>
      </c>
      <c r="AF42" s="62">
        <f>+X26</f>
        <v>5645</v>
      </c>
      <c r="AG42" s="62"/>
      <c r="AH42" s="27" t="s">
        <v>31</v>
      </c>
      <c r="AI42" s="62">
        <f>P42*SQRT(R42)*T42*W42^4/(Z42*AC42*AF42)</f>
        <v>0.1810645171253477</v>
      </c>
      <c r="AJ42" s="62"/>
      <c r="AK42" s="62"/>
      <c r="AL42" s="29" t="s">
        <v>51</v>
      </c>
      <c r="AT42" s="23"/>
      <c r="BT42" s="29"/>
    </row>
    <row r="43" spans="1:72" ht="11.25">
      <c r="A43" s="29"/>
      <c r="B43" s="34"/>
      <c r="C43" s="29"/>
      <c r="D43" s="29" t="s">
        <v>68</v>
      </c>
      <c r="E43" s="29"/>
      <c r="F43" s="39"/>
      <c r="G43" s="39"/>
      <c r="H43" s="39"/>
      <c r="I43" s="39"/>
      <c r="J43" s="39"/>
      <c r="K43" s="39"/>
      <c r="L43" s="39"/>
      <c r="M43" s="39"/>
      <c r="P43" s="27">
        <v>1</v>
      </c>
      <c r="Q43" s="29" t="s">
        <v>63</v>
      </c>
      <c r="R43" s="47">
        <v>5</v>
      </c>
      <c r="S43" s="27" t="s">
        <v>6</v>
      </c>
      <c r="T43" s="27">
        <v>5</v>
      </c>
      <c r="U43" s="27" t="s">
        <v>64</v>
      </c>
      <c r="V43" s="62">
        <f>+J31</f>
        <v>7.7</v>
      </c>
      <c r="W43" s="62"/>
      <c r="X43" s="36" t="s">
        <v>7</v>
      </c>
      <c r="Y43" s="62">
        <f>(P43-SQRT(R43)/T43)*V43</f>
        <v>4.2564553146503235</v>
      </c>
      <c r="Z43" s="62"/>
      <c r="AA43" s="27" t="s">
        <v>15</v>
      </c>
      <c r="AB43" s="29"/>
      <c r="AC43" s="29"/>
      <c r="AD43" s="29"/>
      <c r="AE43" s="29"/>
      <c r="AF43" s="29"/>
      <c r="AG43" s="29"/>
      <c r="AH43" s="29"/>
      <c r="AI43" s="29"/>
      <c r="AJ43" s="29"/>
      <c r="AT43" s="23"/>
      <c r="BT43" s="29"/>
    </row>
    <row r="44" spans="1:72" ht="12" thickBot="1">
      <c r="A44" s="29"/>
      <c r="B44" s="3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45"/>
      <c r="AJ44" s="29"/>
      <c r="AN44" s="43"/>
      <c r="AO44" s="43"/>
      <c r="AP44" s="43"/>
      <c r="AQ44" s="43"/>
      <c r="AR44" s="43"/>
      <c r="AS44" s="43"/>
      <c r="AT44" s="49"/>
      <c r="BT44" s="29"/>
    </row>
    <row r="45" spans="1:72" ht="12" thickTop="1">
      <c r="A45" s="29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29"/>
      <c r="AJ45" s="31"/>
      <c r="AK45" s="32"/>
      <c r="AL45" s="32"/>
      <c r="AM45" s="32"/>
      <c r="AT45" s="23"/>
      <c r="BT45" s="29"/>
    </row>
    <row r="46" spans="1:72" ht="11.25">
      <c r="A46" s="29"/>
      <c r="B46" s="34"/>
      <c r="C46" s="29"/>
      <c r="D46" s="29"/>
      <c r="E46" s="29"/>
      <c r="F46" s="29"/>
      <c r="G46" s="29"/>
      <c r="H46" s="29"/>
      <c r="I46" s="29"/>
      <c r="J46" s="27" t="s">
        <v>24</v>
      </c>
      <c r="K46" s="65">
        <v>2.56</v>
      </c>
      <c r="L46" s="65"/>
      <c r="M46" s="27" t="s">
        <v>69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T46" s="23"/>
      <c r="BT46" s="29"/>
    </row>
    <row r="47" spans="1:72" ht="11.25">
      <c r="A47" s="29"/>
      <c r="B47" s="3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61" t="s">
        <v>251</v>
      </c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T47" s="23"/>
      <c r="BT47" s="29"/>
    </row>
    <row r="48" spans="1:72" ht="11.25">
      <c r="A48" s="29"/>
      <c r="B48" s="34"/>
      <c r="C48" s="29"/>
      <c r="D48" s="29"/>
      <c r="E48" s="29"/>
      <c r="R48" s="29"/>
      <c r="S48" s="29"/>
      <c r="T48" s="29"/>
      <c r="U48" s="29"/>
      <c r="V48" s="29"/>
      <c r="W48" s="29" t="s">
        <v>49</v>
      </c>
      <c r="X48" s="65">
        <v>21000</v>
      </c>
      <c r="Y48" s="65"/>
      <c r="Z48" s="29" t="s">
        <v>53</v>
      </c>
      <c r="AB48" s="29"/>
      <c r="AC48" s="29"/>
      <c r="AD48" s="29"/>
      <c r="AE48" s="29"/>
      <c r="AF48" s="29"/>
      <c r="AG48" s="29"/>
      <c r="AH48" s="29"/>
      <c r="AI48" s="29"/>
      <c r="AJ48" s="29"/>
      <c r="AT48" s="23"/>
      <c r="BT48" s="29"/>
    </row>
    <row r="49" spans="1:72" ht="11.25">
      <c r="A49" s="29"/>
      <c r="B49" s="34"/>
      <c r="C49" s="29"/>
      <c r="D49" s="29"/>
      <c r="E49" s="24"/>
      <c r="R49" s="29"/>
      <c r="S49" s="29"/>
      <c r="T49" s="29"/>
      <c r="U49" s="29"/>
      <c r="V49" s="29"/>
      <c r="W49" s="29" t="s">
        <v>50</v>
      </c>
      <c r="X49" s="65">
        <v>5645</v>
      </c>
      <c r="Y49" s="65"/>
      <c r="Z49" s="29" t="s">
        <v>54</v>
      </c>
      <c r="AB49" s="29"/>
      <c r="AC49" s="29"/>
      <c r="AD49" s="29"/>
      <c r="AE49" s="29"/>
      <c r="AF49" s="29"/>
      <c r="AG49" s="29"/>
      <c r="AH49" s="29"/>
      <c r="AI49" s="29"/>
      <c r="AJ49" s="29"/>
      <c r="AT49" s="23"/>
      <c r="BT49" s="29"/>
    </row>
    <row r="50" spans="1:72" ht="12" thickBot="1">
      <c r="A50" s="29"/>
      <c r="B50" s="34"/>
      <c r="C50" s="29"/>
      <c r="D50" s="29"/>
      <c r="E50" s="24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27" t="s">
        <v>42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T50" s="23"/>
      <c r="BT50" s="29"/>
    </row>
    <row r="51" spans="1:72" ht="12.75" thickBot="1" thickTop="1">
      <c r="A51" s="29"/>
      <c r="B51" s="34"/>
      <c r="C51" s="29"/>
      <c r="D51" s="29"/>
      <c r="E51" s="24"/>
      <c r="F51" s="36" t="s">
        <v>41</v>
      </c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T51" s="23"/>
      <c r="BT51" s="29"/>
    </row>
    <row r="52" spans="1:72" ht="12" thickTop="1">
      <c r="A52" s="29"/>
      <c r="B52" s="34"/>
      <c r="C52" s="29" t="s">
        <v>20</v>
      </c>
      <c r="D52" s="29"/>
      <c r="E52" s="29"/>
      <c r="F52" s="29"/>
      <c r="G52" s="29"/>
      <c r="H52" s="29"/>
      <c r="I52" s="29"/>
      <c r="J52" s="29"/>
      <c r="N52" s="29"/>
      <c r="O52" s="37"/>
      <c r="P52" s="37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38" t="s">
        <v>197</v>
      </c>
      <c r="AF52" s="29"/>
      <c r="AG52" s="29"/>
      <c r="AH52" s="29"/>
      <c r="AI52" s="29"/>
      <c r="AJ52" s="29"/>
      <c r="AT52" s="23"/>
      <c r="BT52" s="29"/>
    </row>
    <row r="53" spans="1:72" ht="11.25">
      <c r="A53" s="29"/>
      <c r="B53" s="34"/>
      <c r="C53" s="29"/>
      <c r="D53" s="29"/>
      <c r="E53" s="29"/>
      <c r="F53" s="29"/>
      <c r="G53" s="29"/>
      <c r="H53" s="29"/>
      <c r="I53" s="29"/>
      <c r="J53" s="29"/>
      <c r="N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T53" s="23"/>
      <c r="BT53" s="29"/>
    </row>
    <row r="54" spans="1:72" ht="11.25">
      <c r="A54" s="29"/>
      <c r="B54" s="34"/>
      <c r="C54" s="29"/>
      <c r="D54" s="29"/>
      <c r="E54" s="29"/>
      <c r="F54" s="29"/>
      <c r="G54" s="29"/>
      <c r="H54" s="29"/>
      <c r="I54" s="29" t="s">
        <v>25</v>
      </c>
      <c r="J54" s="65">
        <v>7.7</v>
      </c>
      <c r="K54" s="65"/>
      <c r="L54" s="27" t="s">
        <v>15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T54" s="23"/>
      <c r="BT54" s="29"/>
    </row>
    <row r="55" spans="1:72" ht="11.25">
      <c r="A55" s="29"/>
      <c r="B55" s="34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T55" s="23"/>
      <c r="BT55" s="29"/>
    </row>
    <row r="56" spans="1:72" ht="11.25">
      <c r="A56" s="29"/>
      <c r="B56" s="34"/>
      <c r="C56" s="29"/>
      <c r="D56" s="29"/>
      <c r="E56" s="29" t="s">
        <v>35</v>
      </c>
      <c r="F56" s="29"/>
      <c r="G56" s="29"/>
      <c r="H56" s="29"/>
      <c r="I56" s="29"/>
      <c r="J56" s="29"/>
      <c r="K56" s="29"/>
      <c r="L56" s="29"/>
      <c r="M56" s="29"/>
      <c r="N56" s="29"/>
      <c r="O56" s="29" t="s">
        <v>36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T56" s="23"/>
      <c r="BT56" s="29"/>
    </row>
    <row r="57" spans="1:72" ht="11.25">
      <c r="A57" s="29"/>
      <c r="B57" s="34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T57" s="23"/>
      <c r="BT57" s="29"/>
    </row>
    <row r="58" spans="1:72" ht="11.25">
      <c r="A58" s="29"/>
      <c r="B58" s="34"/>
      <c r="C58" s="29"/>
      <c r="D58" s="29"/>
      <c r="E58" s="29"/>
      <c r="F58" s="29"/>
      <c r="G58" s="29" t="s">
        <v>43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T58" s="23"/>
      <c r="BT58" s="29"/>
    </row>
    <row r="59" spans="1:72" ht="11.25">
      <c r="A59" s="29"/>
      <c r="B59" s="3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T59" s="23"/>
      <c r="BT59" s="29"/>
    </row>
    <row r="60" spans="1:72" ht="11.25">
      <c r="A60" s="29"/>
      <c r="B60" s="34"/>
      <c r="C60" s="29"/>
      <c r="D60" s="29" t="s">
        <v>72</v>
      </c>
      <c r="E60" s="29"/>
      <c r="F60" s="39"/>
      <c r="G60" s="39"/>
      <c r="H60" s="39"/>
      <c r="J60" s="39">
        <v>9</v>
      </c>
      <c r="K60" s="39" t="s">
        <v>4</v>
      </c>
      <c r="L60" s="63">
        <f>+K46</f>
        <v>2.56</v>
      </c>
      <c r="M60" s="63"/>
      <c r="N60" s="39" t="s">
        <v>4</v>
      </c>
      <c r="O60" s="69">
        <f>+J54</f>
        <v>7.7</v>
      </c>
      <c r="P60" s="69"/>
      <c r="Q60" s="29" t="s">
        <v>6</v>
      </c>
      <c r="R60" s="36">
        <v>40</v>
      </c>
      <c r="S60" s="36" t="s">
        <v>7</v>
      </c>
      <c r="T60" s="62">
        <f>+J60*L60*O60/R60</f>
        <v>4.4352</v>
      </c>
      <c r="U60" s="62"/>
      <c r="V60" s="29" t="s">
        <v>55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T60" s="23"/>
      <c r="BT60" s="29"/>
    </row>
    <row r="61" spans="1:72" ht="11.25">
      <c r="A61" s="29"/>
      <c r="B61" s="34"/>
      <c r="C61" s="29"/>
      <c r="D61" s="29" t="s">
        <v>71</v>
      </c>
      <c r="E61" s="29"/>
      <c r="F61" s="39"/>
      <c r="G61" s="39"/>
      <c r="H61" s="39"/>
      <c r="J61" s="39">
        <v>11</v>
      </c>
      <c r="K61" s="39" t="s">
        <v>4</v>
      </c>
      <c r="L61" s="63">
        <f>+K46</f>
        <v>2.56</v>
      </c>
      <c r="M61" s="63"/>
      <c r="N61" s="39" t="s">
        <v>4</v>
      </c>
      <c r="O61" s="69">
        <f>+J54</f>
        <v>7.7</v>
      </c>
      <c r="P61" s="69"/>
      <c r="Q61" s="29" t="s">
        <v>6</v>
      </c>
      <c r="R61" s="36">
        <v>40</v>
      </c>
      <c r="S61" s="36" t="s">
        <v>7</v>
      </c>
      <c r="T61" s="62">
        <f>+J61*L61*O61/R61</f>
        <v>5.4208</v>
      </c>
      <c r="U61" s="62"/>
      <c r="V61" s="29" t="s">
        <v>55</v>
      </c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T61" s="23"/>
      <c r="BT61" s="29"/>
    </row>
    <row r="62" spans="1:72" ht="11.25">
      <c r="A62" s="29"/>
      <c r="B62" s="34"/>
      <c r="C62" s="29"/>
      <c r="D62" s="29" t="s">
        <v>70</v>
      </c>
      <c r="E62" s="29"/>
      <c r="F62" s="29"/>
      <c r="G62" s="29"/>
      <c r="H62" s="29"/>
      <c r="I62" s="29"/>
      <c r="J62" s="29">
        <v>7</v>
      </c>
      <c r="K62" s="39" t="s">
        <v>4</v>
      </c>
      <c r="L62" s="69">
        <f>+K46</f>
        <v>2.56</v>
      </c>
      <c r="M62" s="69"/>
      <c r="N62" s="36" t="s">
        <v>4</v>
      </c>
      <c r="O62" s="62">
        <f>+J54</f>
        <v>7.7</v>
      </c>
      <c r="P62" s="62"/>
      <c r="Q62" s="36" t="s">
        <v>23</v>
      </c>
      <c r="R62" s="63">
        <v>120</v>
      </c>
      <c r="S62" s="63"/>
      <c r="T62" s="36" t="s">
        <v>7</v>
      </c>
      <c r="U62" s="63">
        <f>+J62*L62*O62^2/R62</f>
        <v>8.853973333333334</v>
      </c>
      <c r="V62" s="63"/>
      <c r="W62" s="29" t="s">
        <v>57</v>
      </c>
      <c r="AB62" s="29"/>
      <c r="AC62" s="29"/>
      <c r="AD62" s="29"/>
      <c r="AE62" s="29"/>
      <c r="AF62" s="29"/>
      <c r="AG62" s="29"/>
      <c r="AH62" s="29"/>
      <c r="AI62" s="29"/>
      <c r="AJ62" s="29"/>
      <c r="AT62" s="23"/>
      <c r="BT62" s="29"/>
    </row>
    <row r="63" spans="1:72" ht="11.25">
      <c r="A63" s="29"/>
      <c r="B63" s="34"/>
      <c r="C63" s="29"/>
      <c r="D63" s="29" t="s">
        <v>198</v>
      </c>
      <c r="E63" s="29"/>
      <c r="F63" s="29"/>
      <c r="G63" s="29"/>
      <c r="H63" s="29"/>
      <c r="O63" s="27">
        <v>81</v>
      </c>
      <c r="P63" s="27" t="s">
        <v>67</v>
      </c>
      <c r="Q63" s="47">
        <v>5</v>
      </c>
      <c r="R63" s="36" t="s">
        <v>5</v>
      </c>
      <c r="S63" s="62">
        <v>105</v>
      </c>
      <c r="T63" s="62"/>
      <c r="U63" s="27" t="s">
        <v>64</v>
      </c>
      <c r="V63" s="63">
        <f>+K46</f>
        <v>2.56</v>
      </c>
      <c r="W63" s="63"/>
      <c r="X63" s="29" t="s">
        <v>4</v>
      </c>
      <c r="Y63" s="63">
        <f>+J54</f>
        <v>7.7</v>
      </c>
      <c r="Z63" s="63"/>
      <c r="AA63" s="29" t="s">
        <v>23</v>
      </c>
      <c r="AB63" s="63">
        <v>1800</v>
      </c>
      <c r="AC63" s="63"/>
      <c r="AD63" s="39" t="s">
        <v>7</v>
      </c>
      <c r="AE63" s="63">
        <f>(O63*SQRT(Q63)-S63)*V63*Y63^2/AB63</f>
        <v>6.418836055129553</v>
      </c>
      <c r="AF63" s="63"/>
      <c r="AG63" s="29" t="s">
        <v>73</v>
      </c>
      <c r="AH63" s="29"/>
      <c r="AI63" s="29"/>
      <c r="AJ63" s="29"/>
      <c r="AT63" s="23"/>
      <c r="BT63" s="29"/>
    </row>
    <row r="64" spans="1:72" ht="11.25">
      <c r="A64" s="29"/>
      <c r="B64" s="34"/>
      <c r="C64" s="29"/>
      <c r="D64" s="29" t="s">
        <v>74</v>
      </c>
      <c r="E64" s="29"/>
      <c r="F64" s="29"/>
      <c r="G64" s="29"/>
      <c r="H64" s="29"/>
      <c r="P64" s="27">
        <v>3</v>
      </c>
      <c r="Q64" s="27" t="s">
        <v>67</v>
      </c>
      <c r="R64" s="47">
        <v>5</v>
      </c>
      <c r="S64" s="27" t="s">
        <v>4</v>
      </c>
      <c r="T64" s="62">
        <f>+J54</f>
        <v>7.7</v>
      </c>
      <c r="U64" s="62"/>
      <c r="V64" s="29" t="s">
        <v>6</v>
      </c>
      <c r="W64" s="29">
        <v>10</v>
      </c>
      <c r="X64" s="39" t="s">
        <v>7</v>
      </c>
      <c r="Y64" s="63">
        <f>+P64*SQRT(R64)*T64/W64</f>
        <v>5.165317028024515</v>
      </c>
      <c r="Z64" s="63"/>
      <c r="AA64" s="29" t="s">
        <v>15</v>
      </c>
      <c r="AB64" s="29"/>
      <c r="AC64" s="29"/>
      <c r="AD64" s="29"/>
      <c r="AE64" s="29"/>
      <c r="AF64" s="29"/>
      <c r="AG64" s="29"/>
      <c r="AH64" s="29"/>
      <c r="AI64" s="29"/>
      <c r="AJ64" s="29"/>
      <c r="AT64" s="23"/>
      <c r="BT64" s="29"/>
    </row>
    <row r="65" spans="1:72" ht="11.25">
      <c r="A65" s="29"/>
      <c r="B65" s="34"/>
      <c r="C65" s="29"/>
      <c r="D65" s="29" t="s">
        <v>75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63">
        <v>0.00305</v>
      </c>
      <c r="P65" s="63"/>
      <c r="Q65" s="63"/>
      <c r="R65" s="39" t="s">
        <v>4</v>
      </c>
      <c r="S65" s="63">
        <f>+K46/100</f>
        <v>0.0256</v>
      </c>
      <c r="T65" s="63"/>
      <c r="U65" s="39" t="s">
        <v>4</v>
      </c>
      <c r="V65" s="63">
        <f>+J54*100</f>
        <v>770</v>
      </c>
      <c r="W65" s="63"/>
      <c r="X65" s="50" t="s">
        <v>46</v>
      </c>
      <c r="Y65" s="63">
        <f>+X48</f>
        <v>21000</v>
      </c>
      <c r="Z65" s="63"/>
      <c r="AA65" s="39" t="s">
        <v>4</v>
      </c>
      <c r="AB65" s="63">
        <f>+X49</f>
        <v>5645</v>
      </c>
      <c r="AC65" s="63"/>
      <c r="AD65" s="29" t="s">
        <v>31</v>
      </c>
      <c r="AE65" s="63">
        <f>+O65*S65*V65^4/(Y65*AB65)</f>
        <v>0.231536500171243</v>
      </c>
      <c r="AF65" s="63"/>
      <c r="AG65" s="63"/>
      <c r="AH65" s="29" t="s">
        <v>51</v>
      </c>
      <c r="AI65" s="29"/>
      <c r="AJ65" s="29"/>
      <c r="AT65" s="23"/>
      <c r="BT65" s="29"/>
    </row>
    <row r="66" spans="1:72" ht="11.25">
      <c r="A66" s="29"/>
      <c r="B66" s="34"/>
      <c r="C66" s="29"/>
      <c r="D66" s="29" t="s">
        <v>76</v>
      </c>
      <c r="E66" s="29"/>
      <c r="F66" s="29"/>
      <c r="G66" s="29"/>
      <c r="H66" s="29"/>
      <c r="I66" s="29"/>
      <c r="J66" s="29"/>
      <c r="K66" s="29"/>
      <c r="L66" s="29"/>
      <c r="M66" s="63">
        <v>0.598</v>
      </c>
      <c r="N66" s="63"/>
      <c r="O66" s="39" t="s">
        <v>4</v>
      </c>
      <c r="P66" s="63">
        <f>+J54</f>
        <v>7.7</v>
      </c>
      <c r="Q66" s="63"/>
      <c r="R66" s="39" t="s">
        <v>7</v>
      </c>
      <c r="S66" s="63">
        <f>+M66*P66</f>
        <v>4.6046</v>
      </c>
      <c r="T66" s="63"/>
      <c r="U66" s="29" t="s">
        <v>15</v>
      </c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T66" s="23"/>
      <c r="BT66" s="29"/>
    </row>
    <row r="67" spans="1:72" ht="12" thickBot="1">
      <c r="A67" s="29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3"/>
      <c r="AL67" s="43"/>
      <c r="AM67" s="43"/>
      <c r="AT67" s="23"/>
      <c r="BT67" s="29"/>
    </row>
    <row r="68" spans="1:72" ht="12" thickTop="1">
      <c r="A68" s="29"/>
      <c r="B68" s="34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E68" s="29"/>
      <c r="AF68" s="29"/>
      <c r="AG68" s="29"/>
      <c r="AH68" s="29"/>
      <c r="AI68" s="29"/>
      <c r="AJ68" s="31"/>
      <c r="AK68" s="32"/>
      <c r="AL68" s="32"/>
      <c r="AM68" s="32"/>
      <c r="AN68" s="32"/>
      <c r="AO68" s="32"/>
      <c r="AP68" s="32"/>
      <c r="AQ68" s="32"/>
      <c r="AR68" s="32"/>
      <c r="AS68" s="32"/>
      <c r="AT68" s="33"/>
      <c r="BT68" s="29"/>
    </row>
    <row r="69" spans="1:72" ht="11.25">
      <c r="A69" s="29"/>
      <c r="B69" s="34"/>
      <c r="C69" s="29"/>
      <c r="D69" s="29"/>
      <c r="E69" s="29"/>
      <c r="F69" s="29"/>
      <c r="G69" s="29"/>
      <c r="H69" s="29"/>
      <c r="I69" s="29"/>
      <c r="J69" s="27" t="s">
        <v>77</v>
      </c>
      <c r="K69" s="65">
        <v>2.56</v>
      </c>
      <c r="L69" s="65"/>
      <c r="M69" s="27" t="s">
        <v>55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T69" s="23"/>
      <c r="BT69" s="29"/>
    </row>
    <row r="70" spans="1:72" ht="11.25">
      <c r="A70" s="29"/>
      <c r="B70" s="34"/>
      <c r="C70" s="29"/>
      <c r="D70" s="29"/>
      <c r="E70" s="29"/>
      <c r="R70" s="29"/>
      <c r="S70" s="29"/>
      <c r="T70" s="29"/>
      <c r="U70" s="29"/>
      <c r="V70" s="29"/>
      <c r="W70" s="29"/>
      <c r="X70" s="61" t="s">
        <v>251</v>
      </c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T70" s="23"/>
      <c r="BT70" s="29"/>
    </row>
    <row r="71" spans="1:72" ht="11.25">
      <c r="A71" s="29"/>
      <c r="B71" s="34"/>
      <c r="C71" s="29"/>
      <c r="D71" s="29"/>
      <c r="E71" s="24"/>
      <c r="R71" s="29"/>
      <c r="S71" s="29"/>
      <c r="T71" s="29"/>
      <c r="U71" s="29"/>
      <c r="V71" s="29"/>
      <c r="W71" s="29" t="s">
        <v>49</v>
      </c>
      <c r="X71" s="65">
        <v>21000</v>
      </c>
      <c r="Y71" s="65"/>
      <c r="Z71" s="29" t="s">
        <v>53</v>
      </c>
      <c r="AB71" s="29"/>
      <c r="AC71" s="29"/>
      <c r="AD71" s="29"/>
      <c r="AE71" s="29"/>
      <c r="AF71" s="29"/>
      <c r="AG71" s="29"/>
      <c r="AH71" s="29"/>
      <c r="AI71" s="29"/>
      <c r="AJ71" s="29"/>
      <c r="AT71" s="23"/>
      <c r="BT71" s="29"/>
    </row>
    <row r="72" spans="1:72" ht="12" thickBot="1">
      <c r="A72" s="29"/>
      <c r="B72" s="34"/>
      <c r="C72" s="29"/>
      <c r="D72" s="29"/>
      <c r="E72" s="24"/>
      <c r="F72" s="44"/>
      <c r="G72" s="45"/>
      <c r="H72" s="45"/>
      <c r="I72" s="45"/>
      <c r="J72" s="45"/>
      <c r="K72" s="45"/>
      <c r="L72" s="45"/>
      <c r="M72" s="45"/>
      <c r="N72" s="45"/>
      <c r="O72" s="45"/>
      <c r="P72" s="27" t="s">
        <v>42</v>
      </c>
      <c r="R72" s="29"/>
      <c r="S72" s="29"/>
      <c r="T72" s="29"/>
      <c r="U72" s="29"/>
      <c r="V72" s="29"/>
      <c r="W72" s="29" t="s">
        <v>50</v>
      </c>
      <c r="X72" s="65">
        <v>5645</v>
      </c>
      <c r="Y72" s="65"/>
      <c r="Z72" s="29" t="s">
        <v>54</v>
      </c>
      <c r="AB72" s="29"/>
      <c r="AC72" s="29"/>
      <c r="AD72" s="29"/>
      <c r="AE72" s="29"/>
      <c r="AF72" s="29"/>
      <c r="AG72" s="29"/>
      <c r="AH72" s="29"/>
      <c r="AI72" s="29"/>
      <c r="AJ72" s="29"/>
      <c r="AT72" s="23"/>
      <c r="BT72" s="29"/>
    </row>
    <row r="73" spans="1:72" ht="12.75" thickBot="1" thickTop="1">
      <c r="A73" s="29"/>
      <c r="B73" s="34"/>
      <c r="C73" s="29"/>
      <c r="D73" s="29"/>
      <c r="E73" s="24"/>
      <c r="F73" s="36" t="s">
        <v>41</v>
      </c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T73" s="23"/>
      <c r="BT73" s="29"/>
    </row>
    <row r="74" spans="1:72" ht="12" thickTop="1">
      <c r="A74" s="29"/>
      <c r="B74" s="34"/>
      <c r="C74" s="29" t="s">
        <v>27</v>
      </c>
      <c r="D74" s="29"/>
      <c r="E74" s="29"/>
      <c r="I74" s="29"/>
      <c r="J74" s="29"/>
      <c r="N74" s="29"/>
      <c r="O74" s="37"/>
      <c r="P74" s="37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T74" s="23"/>
      <c r="BT74" s="29"/>
    </row>
    <row r="75" spans="1:72" ht="11.25">
      <c r="A75" s="29"/>
      <c r="B75" s="34"/>
      <c r="C75" s="29"/>
      <c r="D75" s="29"/>
      <c r="E75" s="29"/>
      <c r="G75" s="63">
        <f>+J77/2</f>
        <v>3.85</v>
      </c>
      <c r="H75" s="63"/>
      <c r="I75" s="27" t="s">
        <v>15</v>
      </c>
      <c r="J75" s="29"/>
      <c r="K75" s="29"/>
      <c r="L75" s="63">
        <f>+G75</f>
        <v>3.85</v>
      </c>
      <c r="M75" s="63"/>
      <c r="N75" s="27" t="s">
        <v>15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T75" s="23"/>
      <c r="BT75" s="29"/>
    </row>
    <row r="76" spans="1:72" ht="11.25">
      <c r="A76" s="29"/>
      <c r="B76" s="34"/>
      <c r="C76" s="29"/>
      <c r="D76" s="29"/>
      <c r="E76" s="29"/>
      <c r="F76" s="29"/>
      <c r="G76" s="29"/>
      <c r="H76" s="29"/>
      <c r="I76" s="29"/>
      <c r="J76" s="29"/>
      <c r="N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38" t="s">
        <v>197</v>
      </c>
      <c r="AG76" s="29"/>
      <c r="AH76" s="29"/>
      <c r="AI76" s="29"/>
      <c r="AJ76" s="29"/>
      <c r="AT76" s="23"/>
      <c r="BT76" s="29"/>
    </row>
    <row r="77" spans="1:72" ht="11.25">
      <c r="A77" s="29"/>
      <c r="B77" s="34"/>
      <c r="C77" s="29"/>
      <c r="D77" s="29"/>
      <c r="E77" s="29"/>
      <c r="F77" s="29"/>
      <c r="G77" s="29"/>
      <c r="H77" s="29"/>
      <c r="I77" s="29" t="s">
        <v>25</v>
      </c>
      <c r="J77" s="65">
        <v>7.7</v>
      </c>
      <c r="K77" s="65"/>
      <c r="L77" s="27" t="s">
        <v>15</v>
      </c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T77" s="23"/>
      <c r="BT77" s="29"/>
    </row>
    <row r="78" spans="1:72" ht="11.25">
      <c r="A78" s="29"/>
      <c r="B78" s="34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T78" s="23"/>
      <c r="BT78" s="29"/>
    </row>
    <row r="79" spans="1:72" ht="11.25">
      <c r="A79" s="29"/>
      <c r="B79" s="34"/>
      <c r="C79" s="29"/>
      <c r="D79" s="29"/>
      <c r="E79" s="29" t="s">
        <v>35</v>
      </c>
      <c r="F79" s="29"/>
      <c r="G79" s="29"/>
      <c r="H79" s="29"/>
      <c r="I79" s="29"/>
      <c r="J79" s="29"/>
      <c r="K79" s="29"/>
      <c r="L79" s="29"/>
      <c r="M79" s="29"/>
      <c r="N79" s="29"/>
      <c r="O79" s="29" t="s">
        <v>36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T79" s="23"/>
      <c r="BT79" s="29"/>
    </row>
    <row r="80" spans="1:72" ht="11.25">
      <c r="A80" s="29"/>
      <c r="B80" s="34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T80" s="23"/>
      <c r="BT80" s="29"/>
    </row>
    <row r="81" spans="1:72" ht="11.25">
      <c r="A81" s="29"/>
      <c r="B81" s="34"/>
      <c r="C81" s="29"/>
      <c r="D81" s="29"/>
      <c r="E81" s="29"/>
      <c r="F81" s="29"/>
      <c r="G81" s="29" t="s">
        <v>43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T81" s="23"/>
      <c r="BT81" s="29"/>
    </row>
    <row r="82" spans="1:72" ht="11.25">
      <c r="A82" s="29"/>
      <c r="B82" s="34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T82" s="23"/>
      <c r="BT82" s="29"/>
    </row>
    <row r="83" spans="1:72" ht="11.25">
      <c r="A83" s="29"/>
      <c r="B83" s="34"/>
      <c r="C83" s="29"/>
      <c r="D83" s="29" t="s">
        <v>79</v>
      </c>
      <c r="E83" s="29"/>
      <c r="F83" s="29"/>
      <c r="G83" s="29"/>
      <c r="H83" s="29"/>
      <c r="I83" s="29">
        <v>11</v>
      </c>
      <c r="J83" s="39" t="s">
        <v>4</v>
      </c>
      <c r="K83" s="63">
        <f>+K69</f>
        <v>2.56</v>
      </c>
      <c r="L83" s="63"/>
      <c r="M83" s="29" t="s">
        <v>6</v>
      </c>
      <c r="N83" s="29">
        <v>16</v>
      </c>
      <c r="O83" s="29" t="s">
        <v>7</v>
      </c>
      <c r="P83" s="63">
        <f>+I83*K83/N83</f>
        <v>1.76</v>
      </c>
      <c r="Q83" s="63"/>
      <c r="R83" s="29" t="s">
        <v>55</v>
      </c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T83" s="23"/>
      <c r="BT83" s="29"/>
    </row>
    <row r="84" spans="1:72" ht="11.25">
      <c r="A84" s="29"/>
      <c r="B84" s="34"/>
      <c r="C84" s="29"/>
      <c r="D84" s="29" t="s">
        <v>80</v>
      </c>
      <c r="E84" s="29"/>
      <c r="F84" s="29"/>
      <c r="G84" s="29"/>
      <c r="H84" s="29"/>
      <c r="I84" s="29">
        <v>5</v>
      </c>
      <c r="J84" s="39" t="s">
        <v>4</v>
      </c>
      <c r="K84" s="63">
        <f>+K69</f>
        <v>2.56</v>
      </c>
      <c r="L84" s="63"/>
      <c r="M84" s="29" t="s">
        <v>6</v>
      </c>
      <c r="N84" s="29">
        <v>16</v>
      </c>
      <c r="O84" s="29" t="s">
        <v>7</v>
      </c>
      <c r="P84" s="63">
        <f>+I84*K84/N84</f>
        <v>0.8</v>
      </c>
      <c r="Q84" s="63"/>
      <c r="R84" s="29" t="s">
        <v>55</v>
      </c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T84" s="23"/>
      <c r="BT84" s="29"/>
    </row>
    <row r="85" spans="1:72" ht="11.25">
      <c r="A85" s="29"/>
      <c r="B85" s="34"/>
      <c r="C85" s="29"/>
      <c r="D85" s="29" t="s">
        <v>78</v>
      </c>
      <c r="E85" s="29"/>
      <c r="F85" s="29"/>
      <c r="G85" s="29"/>
      <c r="H85" s="29"/>
      <c r="I85" s="29"/>
      <c r="J85" s="29">
        <v>3</v>
      </c>
      <c r="K85" s="39" t="s">
        <v>4</v>
      </c>
      <c r="L85" s="69">
        <f>+K69</f>
        <v>2.56</v>
      </c>
      <c r="M85" s="69"/>
      <c r="N85" s="36" t="s">
        <v>4</v>
      </c>
      <c r="O85" s="62">
        <f>+J77</f>
        <v>7.7</v>
      </c>
      <c r="P85" s="62"/>
      <c r="Q85" s="36" t="s">
        <v>6</v>
      </c>
      <c r="R85" s="27">
        <v>16</v>
      </c>
      <c r="S85" s="36" t="s">
        <v>7</v>
      </c>
      <c r="T85" s="63">
        <f>+J85*L85*O85/R85</f>
        <v>3.6959999999999997</v>
      </c>
      <c r="U85" s="63"/>
      <c r="V85" s="29" t="s">
        <v>57</v>
      </c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T85" s="23"/>
      <c r="BT85" s="29"/>
    </row>
    <row r="86" spans="1:72" ht="11.25">
      <c r="A86" s="29"/>
      <c r="B86" s="34"/>
      <c r="C86" s="29"/>
      <c r="D86" s="29" t="s">
        <v>81</v>
      </c>
      <c r="J86" s="27">
        <v>5</v>
      </c>
      <c r="K86" s="36" t="s">
        <v>4</v>
      </c>
      <c r="L86" s="62">
        <f>+K69</f>
        <v>2.56</v>
      </c>
      <c r="M86" s="62"/>
      <c r="N86" s="36" t="s">
        <v>4</v>
      </c>
      <c r="O86" s="62">
        <f>+J77</f>
        <v>7.7</v>
      </c>
      <c r="P86" s="62"/>
      <c r="Q86" s="27" t="s">
        <v>6</v>
      </c>
      <c r="R86" s="27">
        <v>32</v>
      </c>
      <c r="S86" s="36" t="s">
        <v>7</v>
      </c>
      <c r="T86" s="63">
        <f>+J86*L86*O86/R86</f>
        <v>3.08</v>
      </c>
      <c r="U86" s="63"/>
      <c r="V86" s="29" t="s">
        <v>73</v>
      </c>
      <c r="AD86" s="29"/>
      <c r="AE86" s="29"/>
      <c r="AF86" s="29"/>
      <c r="AG86" s="29"/>
      <c r="AH86" s="29"/>
      <c r="AI86" s="29"/>
      <c r="AJ86" s="29"/>
      <c r="AT86" s="23"/>
      <c r="BT86" s="29"/>
    </row>
    <row r="87" spans="1:72" ht="11.25">
      <c r="A87" s="29"/>
      <c r="B87" s="34"/>
      <c r="C87" s="29"/>
      <c r="D87" s="29" t="s">
        <v>82</v>
      </c>
      <c r="K87" s="36"/>
      <c r="L87" s="36"/>
      <c r="M87" s="62">
        <f>+J77</f>
        <v>7.7</v>
      </c>
      <c r="N87" s="62"/>
      <c r="O87" s="36" t="s">
        <v>6</v>
      </c>
      <c r="P87" s="36">
        <v>2</v>
      </c>
      <c r="Q87" s="36" t="s">
        <v>7</v>
      </c>
      <c r="R87" s="62">
        <f>+M87/P87</f>
        <v>3.85</v>
      </c>
      <c r="S87" s="62"/>
      <c r="T87" s="46" t="s">
        <v>15</v>
      </c>
      <c r="U87" s="39"/>
      <c r="V87" s="29"/>
      <c r="AD87" s="29"/>
      <c r="AE87" s="29"/>
      <c r="AF87" s="29"/>
      <c r="AG87" s="29"/>
      <c r="AH87" s="29"/>
      <c r="AI87" s="29"/>
      <c r="AJ87" s="29"/>
      <c r="AT87" s="23"/>
      <c r="BT87" s="29"/>
    </row>
    <row r="88" spans="1:72" ht="11.25">
      <c r="A88" s="29"/>
      <c r="B88" s="34"/>
      <c r="C88" s="29"/>
      <c r="D88" s="29" t="s">
        <v>83</v>
      </c>
      <c r="K88" s="36"/>
      <c r="L88" s="36"/>
      <c r="M88" s="36"/>
      <c r="N88" s="36"/>
      <c r="O88" s="36"/>
      <c r="P88" s="47">
        <v>5</v>
      </c>
      <c r="Q88" s="36" t="s">
        <v>4</v>
      </c>
      <c r="R88" s="62">
        <f>+K69</f>
        <v>2.56</v>
      </c>
      <c r="S88" s="62"/>
      <c r="T88" s="39" t="s">
        <v>4</v>
      </c>
      <c r="U88" s="63">
        <f>+J77*100</f>
        <v>770</v>
      </c>
      <c r="V88" s="63"/>
      <c r="W88" s="27" t="s">
        <v>84</v>
      </c>
      <c r="X88" s="62">
        <v>240</v>
      </c>
      <c r="Y88" s="62"/>
      <c r="Z88" s="36" t="s">
        <v>4</v>
      </c>
      <c r="AA88" s="62">
        <f>+X71</f>
        <v>21000</v>
      </c>
      <c r="AB88" s="62"/>
      <c r="AC88" s="36" t="s">
        <v>4</v>
      </c>
      <c r="AD88" s="63">
        <f>+X72</f>
        <v>5645</v>
      </c>
      <c r="AE88" s="63"/>
      <c r="AF88" s="29" t="s">
        <v>31</v>
      </c>
      <c r="AG88" s="63">
        <f>SQRT(P88)*R88*U88^3/(X88*AA88*AD88)</f>
        <v>0.09185497013258304</v>
      </c>
      <c r="AH88" s="63"/>
      <c r="AI88" s="63"/>
      <c r="AJ88" s="29" t="s">
        <v>51</v>
      </c>
      <c r="AT88" s="23"/>
      <c r="BT88" s="29"/>
    </row>
    <row r="89" spans="1:72" ht="11.25">
      <c r="A89" s="29"/>
      <c r="B89" s="34"/>
      <c r="C89" s="29"/>
      <c r="D89" s="29" t="s">
        <v>68</v>
      </c>
      <c r="E89" s="29"/>
      <c r="F89" s="39"/>
      <c r="G89" s="39"/>
      <c r="H89" s="39"/>
      <c r="I89" s="39"/>
      <c r="J89" s="39"/>
      <c r="K89" s="39"/>
      <c r="L89" s="39"/>
      <c r="M89" s="39"/>
      <c r="P89" s="27">
        <v>1</v>
      </c>
      <c r="Q89" s="29" t="s">
        <v>63</v>
      </c>
      <c r="R89" s="47">
        <v>5</v>
      </c>
      <c r="S89" s="27" t="s">
        <v>6</v>
      </c>
      <c r="T89" s="27">
        <v>5</v>
      </c>
      <c r="U89" s="27" t="s">
        <v>64</v>
      </c>
      <c r="V89" s="62">
        <f>+J77</f>
        <v>7.7</v>
      </c>
      <c r="W89" s="62"/>
      <c r="X89" s="36" t="s">
        <v>7</v>
      </c>
      <c r="Y89" s="62">
        <f>(P89-SQRT(R89)/T89)*V89</f>
        <v>4.2564553146503235</v>
      </c>
      <c r="Z89" s="62"/>
      <c r="AA89" s="27" t="s">
        <v>15</v>
      </c>
      <c r="AD89" s="29"/>
      <c r="AE89" s="29"/>
      <c r="AF89" s="29"/>
      <c r="AG89" s="29"/>
      <c r="AH89" s="29"/>
      <c r="AI89" s="29"/>
      <c r="AJ89" s="29"/>
      <c r="AT89" s="23"/>
      <c r="BT89" s="29"/>
    </row>
    <row r="90" spans="1:72" ht="12" thickBot="1">
      <c r="A90" s="29"/>
      <c r="B90" s="44"/>
      <c r="C90" s="45"/>
      <c r="D90" s="45"/>
      <c r="E90" s="45"/>
      <c r="F90" s="45"/>
      <c r="G90" s="45"/>
      <c r="H90" s="45"/>
      <c r="I90" s="45"/>
      <c r="J90" s="43"/>
      <c r="K90" s="43"/>
      <c r="L90" s="43"/>
      <c r="M90" s="43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3"/>
      <c r="AL90" s="43"/>
      <c r="AM90" s="43"/>
      <c r="AN90" s="43"/>
      <c r="AO90" s="43"/>
      <c r="AP90" s="43"/>
      <c r="AQ90" s="43"/>
      <c r="AR90" s="43"/>
      <c r="AS90" s="43"/>
      <c r="AT90" s="49"/>
      <c r="BT90" s="29"/>
    </row>
    <row r="91" spans="1:72" ht="12" thickTop="1">
      <c r="A91" s="29"/>
      <c r="B91" s="34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E91" s="29"/>
      <c r="AF91" s="29"/>
      <c r="AG91" s="29"/>
      <c r="AH91" s="29"/>
      <c r="AI91" s="29"/>
      <c r="AJ91" s="31"/>
      <c r="AK91" s="32"/>
      <c r="AL91" s="32"/>
      <c r="AM91" s="32"/>
      <c r="AT91" s="23"/>
      <c r="BT91" s="29"/>
    </row>
    <row r="92" spans="1:72" ht="11.25">
      <c r="A92" s="29"/>
      <c r="B92" s="34"/>
      <c r="C92" s="29"/>
      <c r="D92" s="29"/>
      <c r="E92" s="29"/>
      <c r="F92" s="29"/>
      <c r="G92" s="29"/>
      <c r="H92" s="29"/>
      <c r="I92" s="29"/>
      <c r="N92" s="29"/>
      <c r="O92" s="27" t="s">
        <v>77</v>
      </c>
      <c r="P92" s="65">
        <v>2.56</v>
      </c>
      <c r="Q92" s="65"/>
      <c r="R92" s="27" t="s">
        <v>55</v>
      </c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T92" s="23"/>
      <c r="BT92" s="29"/>
    </row>
    <row r="93" spans="1:72" ht="11.25">
      <c r="A93" s="29"/>
      <c r="B93" s="34"/>
      <c r="C93" s="29"/>
      <c r="D93" s="29"/>
      <c r="E93" s="29"/>
      <c r="R93" s="29"/>
      <c r="S93" s="29"/>
      <c r="T93" s="29"/>
      <c r="U93" s="29"/>
      <c r="V93" s="29"/>
      <c r="W93" s="29"/>
      <c r="X93" s="61" t="s">
        <v>251</v>
      </c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T93" s="23"/>
      <c r="BT93" s="29"/>
    </row>
    <row r="94" spans="1:72" ht="11.25">
      <c r="A94" s="29"/>
      <c r="B94" s="34"/>
      <c r="C94" s="29"/>
      <c r="D94" s="29"/>
      <c r="E94" s="24"/>
      <c r="R94" s="29"/>
      <c r="S94" s="29"/>
      <c r="T94" s="29"/>
      <c r="U94" s="29"/>
      <c r="V94" s="29"/>
      <c r="W94" s="29" t="s">
        <v>49</v>
      </c>
      <c r="X94" s="65">
        <v>21000</v>
      </c>
      <c r="Y94" s="65"/>
      <c r="Z94" s="29" t="s">
        <v>53</v>
      </c>
      <c r="AB94" s="29"/>
      <c r="AC94" s="29"/>
      <c r="AD94" s="29"/>
      <c r="AE94" s="29"/>
      <c r="AF94" s="29"/>
      <c r="AG94" s="29"/>
      <c r="AH94" s="29"/>
      <c r="AI94" s="29"/>
      <c r="AJ94" s="29"/>
      <c r="AT94" s="23"/>
      <c r="BT94" s="29"/>
    </row>
    <row r="95" spans="1:72" ht="12" thickBot="1">
      <c r="A95" s="29"/>
      <c r="B95" s="34"/>
      <c r="C95" s="29"/>
      <c r="D95" s="29"/>
      <c r="E95" s="24"/>
      <c r="F95" s="44"/>
      <c r="G95" s="45"/>
      <c r="H95" s="45"/>
      <c r="I95" s="45"/>
      <c r="J95" s="45"/>
      <c r="K95" s="45"/>
      <c r="L95" s="45"/>
      <c r="M95" s="45"/>
      <c r="N95" s="45"/>
      <c r="O95" s="45"/>
      <c r="R95" s="29"/>
      <c r="S95" s="29"/>
      <c r="T95" s="29"/>
      <c r="U95" s="29"/>
      <c r="V95" s="29"/>
      <c r="W95" s="29" t="s">
        <v>50</v>
      </c>
      <c r="X95" s="65">
        <v>5645</v>
      </c>
      <c r="Y95" s="65"/>
      <c r="Z95" s="29" t="s">
        <v>54</v>
      </c>
      <c r="AB95" s="29"/>
      <c r="AC95" s="29"/>
      <c r="AD95" s="29"/>
      <c r="AE95" s="29"/>
      <c r="AF95" s="29"/>
      <c r="AG95" s="29"/>
      <c r="AH95" s="29"/>
      <c r="AI95" s="29"/>
      <c r="AJ95" s="29"/>
      <c r="AT95" s="23"/>
      <c r="BT95" s="29"/>
    </row>
    <row r="96" spans="1:72" ht="12" thickTop="1">
      <c r="A96" s="29"/>
      <c r="B96" s="34"/>
      <c r="C96" s="29"/>
      <c r="D96" s="29"/>
      <c r="E96" s="24"/>
      <c r="F96" s="36" t="s">
        <v>41</v>
      </c>
      <c r="P96" s="27" t="s">
        <v>42</v>
      </c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T96" s="23"/>
      <c r="BT96" s="29"/>
    </row>
    <row r="97" spans="1:72" ht="11.25">
      <c r="A97" s="29"/>
      <c r="B97" s="34"/>
      <c r="C97" s="29" t="s">
        <v>20</v>
      </c>
      <c r="D97" s="29"/>
      <c r="E97" s="29"/>
      <c r="I97" s="29"/>
      <c r="J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T97" s="23"/>
      <c r="BT97" s="29"/>
    </row>
    <row r="98" spans="1:72" ht="11.25">
      <c r="A98" s="29"/>
      <c r="B98" s="34"/>
      <c r="C98" s="29"/>
      <c r="D98" s="29"/>
      <c r="E98" s="29"/>
      <c r="F98" s="29"/>
      <c r="G98" s="29"/>
      <c r="H98" s="29"/>
      <c r="I98" s="29"/>
      <c r="J98" s="29"/>
      <c r="N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T98" s="23"/>
      <c r="BT98" s="29"/>
    </row>
    <row r="99" spans="1:72" ht="11.25">
      <c r="A99" s="29"/>
      <c r="B99" s="34"/>
      <c r="C99" s="29"/>
      <c r="D99" s="29"/>
      <c r="E99" s="29"/>
      <c r="F99" s="29"/>
      <c r="G99" s="29"/>
      <c r="H99" s="29"/>
      <c r="I99" s="29" t="s">
        <v>25</v>
      </c>
      <c r="J99" s="65">
        <v>1.5</v>
      </c>
      <c r="K99" s="65"/>
      <c r="L99" s="27" t="s">
        <v>15</v>
      </c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38" t="s">
        <v>197</v>
      </c>
      <c r="AF99" s="29"/>
      <c r="AG99" s="29"/>
      <c r="AH99" s="29"/>
      <c r="AI99" s="29"/>
      <c r="AJ99" s="29"/>
      <c r="AT99" s="23"/>
      <c r="BT99" s="29"/>
    </row>
    <row r="100" spans="1:72" ht="11.25">
      <c r="A100" s="29"/>
      <c r="B100" s="34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T100" s="23"/>
      <c r="BT100" s="29"/>
    </row>
    <row r="101" spans="1:72" ht="11.25">
      <c r="A101" s="29"/>
      <c r="B101" s="34"/>
      <c r="C101" s="29"/>
      <c r="D101" s="29"/>
      <c r="E101" s="29" t="s">
        <v>35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T101" s="23"/>
      <c r="BT101" s="29"/>
    </row>
    <row r="102" spans="1:72" ht="11.25">
      <c r="A102" s="29"/>
      <c r="B102" s="34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T102" s="23"/>
      <c r="BT102" s="29"/>
    </row>
    <row r="103" spans="1:72" ht="11.25">
      <c r="A103" s="29"/>
      <c r="B103" s="34"/>
      <c r="C103" s="29"/>
      <c r="D103" s="29"/>
      <c r="E103" s="29"/>
      <c r="F103" s="29"/>
      <c r="G103" s="29" t="s">
        <v>43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T103" s="23"/>
      <c r="BT103" s="29"/>
    </row>
    <row r="104" spans="1:72" ht="11.25">
      <c r="A104" s="29"/>
      <c r="B104" s="34"/>
      <c r="C104" s="29"/>
      <c r="D104" s="29"/>
      <c r="E104" s="29"/>
      <c r="F104" s="29"/>
      <c r="G104" s="29"/>
      <c r="H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T104" s="23"/>
      <c r="BT104" s="29"/>
    </row>
    <row r="105" spans="1:72" ht="11.25">
      <c r="A105" s="29"/>
      <c r="B105" s="34"/>
      <c r="C105" s="29"/>
      <c r="D105" s="29" t="s">
        <v>86</v>
      </c>
      <c r="E105" s="29"/>
      <c r="F105" s="29"/>
      <c r="G105" s="63">
        <f>+P92</f>
        <v>2.56</v>
      </c>
      <c r="H105" s="63"/>
      <c r="I105" s="29" t="s">
        <v>55</v>
      </c>
      <c r="J105" s="39"/>
      <c r="N105" s="29"/>
      <c r="O105" s="39"/>
      <c r="P105" s="29"/>
      <c r="Q105" s="29"/>
      <c r="AJ105" s="29"/>
      <c r="AT105" s="23"/>
      <c r="BT105" s="29"/>
    </row>
    <row r="106" spans="1:72" ht="11.25">
      <c r="A106" s="29"/>
      <c r="B106" s="34"/>
      <c r="C106" s="29"/>
      <c r="D106" s="29" t="s">
        <v>85</v>
      </c>
      <c r="E106" s="29"/>
      <c r="F106" s="29"/>
      <c r="G106" s="29"/>
      <c r="H106" s="69">
        <f>+P92</f>
        <v>2.56</v>
      </c>
      <c r="I106" s="69"/>
      <c r="J106" s="36" t="s">
        <v>4</v>
      </c>
      <c r="K106" s="62">
        <f>+J99</f>
        <v>1.5</v>
      </c>
      <c r="L106" s="62"/>
      <c r="M106" s="36" t="s">
        <v>7</v>
      </c>
      <c r="N106" s="63">
        <f>H106*K106</f>
        <v>3.84</v>
      </c>
      <c r="O106" s="63"/>
      <c r="P106" s="29" t="s">
        <v>57</v>
      </c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T106" s="23"/>
      <c r="BT106" s="29"/>
    </row>
    <row r="107" spans="1:72" ht="11.25">
      <c r="A107" s="29"/>
      <c r="B107" s="34"/>
      <c r="C107" s="29"/>
      <c r="D107" s="29" t="s">
        <v>87</v>
      </c>
      <c r="K107" s="36"/>
      <c r="L107" s="36"/>
      <c r="M107" s="36"/>
      <c r="N107" s="62">
        <f>+P92</f>
        <v>2.56</v>
      </c>
      <c r="O107" s="62"/>
      <c r="P107" s="39" t="s">
        <v>4</v>
      </c>
      <c r="Q107" s="63">
        <f>+J99*100</f>
        <v>150</v>
      </c>
      <c r="R107" s="63"/>
      <c r="S107" s="27" t="s">
        <v>84</v>
      </c>
      <c r="T107" s="27">
        <v>3</v>
      </c>
      <c r="U107" s="36" t="s">
        <v>4</v>
      </c>
      <c r="V107" s="62">
        <f>+X94</f>
        <v>21000</v>
      </c>
      <c r="W107" s="62"/>
      <c r="X107" s="36" t="s">
        <v>4</v>
      </c>
      <c r="Y107" s="63">
        <f>+X95</f>
        <v>5645</v>
      </c>
      <c r="Z107" s="63"/>
      <c r="AA107" s="29" t="s">
        <v>31</v>
      </c>
      <c r="AB107" s="63">
        <f>N107*Q107^3/(T107*V107*Y107)</f>
        <v>0.024294571681639884</v>
      </c>
      <c r="AC107" s="63"/>
      <c r="AD107" s="63"/>
      <c r="AE107" s="29" t="s">
        <v>51</v>
      </c>
      <c r="AG107" s="27" t="s">
        <v>88</v>
      </c>
      <c r="AT107" s="23"/>
      <c r="BT107" s="29"/>
    </row>
    <row r="108" spans="1:72" ht="12" thickBot="1">
      <c r="A108" s="29"/>
      <c r="B108" s="34"/>
      <c r="C108" s="29"/>
      <c r="D108" s="29"/>
      <c r="E108" s="29"/>
      <c r="F108" s="29"/>
      <c r="G108" s="29"/>
      <c r="H108" s="29"/>
      <c r="I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T108" s="23"/>
      <c r="BT108" s="29"/>
    </row>
    <row r="109" spans="1:72" ht="12" thickTop="1">
      <c r="A109" s="29"/>
      <c r="B109" s="30"/>
      <c r="C109" s="31"/>
      <c r="D109" s="31"/>
      <c r="E109" s="31"/>
      <c r="F109" s="31"/>
      <c r="G109" s="31"/>
      <c r="H109" s="31"/>
      <c r="I109" s="31"/>
      <c r="J109" s="32"/>
      <c r="K109" s="32"/>
      <c r="L109" s="32"/>
      <c r="M109" s="32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2"/>
      <c r="AL109" s="32"/>
      <c r="AM109" s="32"/>
      <c r="AN109" s="32"/>
      <c r="AO109" s="32"/>
      <c r="AP109" s="32"/>
      <c r="AQ109" s="32"/>
      <c r="AR109" s="32"/>
      <c r="AS109" s="32"/>
      <c r="AT109" s="33"/>
      <c r="BT109" s="29"/>
    </row>
    <row r="110" spans="1:72" ht="11.25">
      <c r="A110" s="29"/>
      <c r="B110" s="34"/>
      <c r="C110" s="29"/>
      <c r="D110" s="29"/>
      <c r="E110" s="29"/>
      <c r="F110" s="29"/>
      <c r="G110" s="29"/>
      <c r="H110" s="29"/>
      <c r="I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I110" s="29"/>
      <c r="AJ110" s="29"/>
      <c r="AT110" s="23"/>
      <c r="BT110" s="29"/>
    </row>
    <row r="111" spans="1:72" ht="11.25">
      <c r="A111" s="29"/>
      <c r="B111" s="34"/>
      <c r="C111" s="29"/>
      <c r="D111" s="29"/>
      <c r="E111" s="24"/>
      <c r="R111" s="29"/>
      <c r="S111" s="29"/>
      <c r="T111" s="29"/>
      <c r="U111" s="29"/>
      <c r="V111" s="29"/>
      <c r="AI111" s="29"/>
      <c r="AJ111" s="29"/>
      <c r="AT111" s="23"/>
      <c r="BT111" s="29"/>
    </row>
    <row r="112" spans="1:72" ht="12" thickBot="1">
      <c r="A112" s="29"/>
      <c r="B112" s="34"/>
      <c r="C112" s="29"/>
      <c r="D112" s="29"/>
      <c r="E112" s="24"/>
      <c r="F112" s="44"/>
      <c r="G112" s="45"/>
      <c r="H112" s="45"/>
      <c r="I112" s="45"/>
      <c r="J112" s="45"/>
      <c r="K112" s="45"/>
      <c r="L112" s="45"/>
      <c r="M112" s="45"/>
      <c r="N112" s="45"/>
      <c r="O112" s="45"/>
      <c r="R112" s="29"/>
      <c r="S112" s="29"/>
      <c r="T112" s="29"/>
      <c r="U112" s="29"/>
      <c r="V112" s="29"/>
      <c r="Z112" s="29"/>
      <c r="AA112" s="61" t="s">
        <v>251</v>
      </c>
      <c r="AB112" s="29"/>
      <c r="AC112" s="29"/>
      <c r="AD112" s="29"/>
      <c r="AE112" s="29"/>
      <c r="AF112" s="29"/>
      <c r="AG112" s="29"/>
      <c r="AI112" s="29"/>
      <c r="AJ112" s="29"/>
      <c r="AT112" s="23"/>
      <c r="BT112" s="29"/>
    </row>
    <row r="113" spans="1:72" ht="12" thickTop="1">
      <c r="A113" s="29"/>
      <c r="B113" s="34"/>
      <c r="C113" s="29"/>
      <c r="D113" s="29"/>
      <c r="E113" s="24"/>
      <c r="F113" s="36" t="s">
        <v>41</v>
      </c>
      <c r="O113" s="54" t="s">
        <v>42</v>
      </c>
      <c r="Q113" s="27" t="s">
        <v>221</v>
      </c>
      <c r="R113" s="29"/>
      <c r="S113" s="65">
        <v>10</v>
      </c>
      <c r="T113" s="65"/>
      <c r="U113" s="29" t="s">
        <v>156</v>
      </c>
      <c r="V113" s="29"/>
      <c r="W113" s="29"/>
      <c r="X113" s="29"/>
      <c r="Y113" s="29"/>
      <c r="Z113" s="29" t="s">
        <v>49</v>
      </c>
      <c r="AA113" s="65">
        <v>21000</v>
      </c>
      <c r="AB113" s="65"/>
      <c r="AC113" s="29" t="s">
        <v>53</v>
      </c>
      <c r="AE113" s="29"/>
      <c r="AF113" s="29"/>
      <c r="AG113" s="29"/>
      <c r="AT113" s="23"/>
      <c r="BT113" s="29"/>
    </row>
    <row r="114" spans="1:72" ht="11.25">
      <c r="A114" s="29"/>
      <c r="B114" s="34"/>
      <c r="C114" s="29" t="s">
        <v>20</v>
      </c>
      <c r="D114" s="29"/>
      <c r="E114" s="29"/>
      <c r="I114" s="29"/>
      <c r="J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 t="s">
        <v>50</v>
      </c>
      <c r="AA114" s="65">
        <v>5645</v>
      </c>
      <c r="AB114" s="65"/>
      <c r="AC114" s="29" t="s">
        <v>54</v>
      </c>
      <c r="AE114" s="29"/>
      <c r="AF114" s="29"/>
      <c r="AG114" s="29"/>
      <c r="AT114" s="23"/>
      <c r="BT114" s="29"/>
    </row>
    <row r="115" spans="1:72" ht="11.25">
      <c r="A115" s="29"/>
      <c r="B115" s="34"/>
      <c r="C115" s="29"/>
      <c r="D115" s="29"/>
      <c r="E115" s="29"/>
      <c r="F115" s="29"/>
      <c r="G115" s="29"/>
      <c r="H115" s="29"/>
      <c r="I115" s="29"/>
      <c r="J115" s="29"/>
      <c r="N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T115" s="23"/>
      <c r="BT115" s="29"/>
    </row>
    <row r="116" spans="1:72" ht="11.25">
      <c r="A116" s="29"/>
      <c r="B116" s="34"/>
      <c r="C116" s="29"/>
      <c r="D116" s="29"/>
      <c r="E116" s="29"/>
      <c r="F116" s="29"/>
      <c r="G116" s="29"/>
      <c r="H116" s="29"/>
      <c r="I116" s="29" t="s">
        <v>25</v>
      </c>
      <c r="J116" s="65">
        <v>1.5</v>
      </c>
      <c r="K116" s="65"/>
      <c r="L116" s="27" t="s">
        <v>15</v>
      </c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38" t="s">
        <v>197</v>
      </c>
      <c r="AF116" s="29"/>
      <c r="AG116" s="29"/>
      <c r="AH116" s="29"/>
      <c r="AI116" s="29"/>
      <c r="AJ116" s="29"/>
      <c r="AT116" s="23"/>
      <c r="BT116" s="29"/>
    </row>
    <row r="117" spans="1:72" ht="11.25">
      <c r="A117" s="29"/>
      <c r="B117" s="34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AB117" s="29"/>
      <c r="AC117" s="29"/>
      <c r="AD117" s="29"/>
      <c r="AE117" s="29"/>
      <c r="AF117" s="29"/>
      <c r="AG117" s="29"/>
      <c r="AH117" s="29"/>
      <c r="AI117" s="29"/>
      <c r="AJ117" s="29"/>
      <c r="AT117" s="23"/>
      <c r="BT117" s="29"/>
    </row>
    <row r="118" spans="1:72" ht="11.25">
      <c r="A118" s="29"/>
      <c r="B118" s="34"/>
      <c r="C118" s="29"/>
      <c r="D118" s="29"/>
      <c r="E118" s="29" t="s">
        <v>35</v>
      </c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AB118" s="29"/>
      <c r="AC118" s="29"/>
      <c r="AD118" s="29"/>
      <c r="AE118" s="29"/>
      <c r="AF118" s="29"/>
      <c r="AG118" s="29"/>
      <c r="AH118" s="29"/>
      <c r="AI118" s="29"/>
      <c r="AJ118" s="29"/>
      <c r="AT118" s="23"/>
      <c r="BT118" s="29"/>
    </row>
    <row r="119" spans="1:72" ht="11.25">
      <c r="A119" s="29"/>
      <c r="B119" s="34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AB119" s="29"/>
      <c r="AC119" s="29"/>
      <c r="AD119" s="29"/>
      <c r="AE119" s="29"/>
      <c r="AF119" s="29"/>
      <c r="AG119" s="29"/>
      <c r="AH119" s="29"/>
      <c r="AI119" s="29"/>
      <c r="AJ119" s="29"/>
      <c r="AT119" s="23"/>
      <c r="BT119" s="29"/>
    </row>
    <row r="120" spans="1:72" ht="11.25">
      <c r="A120" s="29"/>
      <c r="B120" s="34"/>
      <c r="C120" s="29"/>
      <c r="D120" s="29"/>
      <c r="E120" s="29"/>
      <c r="F120" s="29"/>
      <c r="G120" s="29" t="s">
        <v>43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T120" s="23"/>
      <c r="BT120" s="29"/>
    </row>
    <row r="121" spans="1:72" ht="11.25">
      <c r="A121" s="29"/>
      <c r="B121" s="34"/>
      <c r="C121" s="29"/>
      <c r="D121" s="29"/>
      <c r="E121" s="29"/>
      <c r="F121" s="29"/>
      <c r="G121" s="29"/>
      <c r="H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T121" s="23"/>
      <c r="BT121" s="29"/>
    </row>
    <row r="122" spans="1:72" ht="11.25">
      <c r="A122" s="29"/>
      <c r="B122" s="34"/>
      <c r="C122" s="29"/>
      <c r="D122" s="29" t="s">
        <v>222</v>
      </c>
      <c r="E122" s="29"/>
      <c r="F122" s="29"/>
      <c r="G122" s="29"/>
      <c r="H122" s="29"/>
      <c r="I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T122" s="23"/>
      <c r="BT122" s="29"/>
    </row>
    <row r="123" spans="1:72" ht="11.25">
      <c r="A123" s="29"/>
      <c r="B123" s="34"/>
      <c r="C123" s="29"/>
      <c r="D123" s="29" t="s">
        <v>223</v>
      </c>
      <c r="E123" s="29"/>
      <c r="F123" s="29"/>
      <c r="G123" s="63">
        <f>+S113</f>
        <v>10</v>
      </c>
      <c r="H123" s="63"/>
      <c r="I123" s="29" t="s">
        <v>156</v>
      </c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T123" s="23"/>
      <c r="BT123" s="29"/>
    </row>
    <row r="124" spans="1:72" ht="11.25">
      <c r="A124" s="29"/>
      <c r="B124" s="34"/>
      <c r="C124" s="29"/>
      <c r="D124" s="29" t="s">
        <v>224</v>
      </c>
      <c r="E124" s="29"/>
      <c r="F124" s="29"/>
      <c r="G124" s="29"/>
      <c r="H124" s="29"/>
      <c r="I124" s="29"/>
      <c r="N124" s="63">
        <f>+S113*100</f>
        <v>1000</v>
      </c>
      <c r="O124" s="63"/>
      <c r="P124" s="39" t="s">
        <v>4</v>
      </c>
      <c r="Q124" s="63">
        <f>+J116*100</f>
        <v>150</v>
      </c>
      <c r="R124" s="63"/>
      <c r="S124" s="29" t="s">
        <v>211</v>
      </c>
      <c r="T124" s="29">
        <v>2</v>
      </c>
      <c r="U124" s="39" t="s">
        <v>4</v>
      </c>
      <c r="V124" s="63">
        <f>+AA113</f>
        <v>21000</v>
      </c>
      <c r="W124" s="63"/>
      <c r="X124" s="39" t="s">
        <v>4</v>
      </c>
      <c r="Y124" s="63">
        <f>+AA114</f>
        <v>5645</v>
      </c>
      <c r="Z124" s="63"/>
      <c r="AA124" s="29" t="s">
        <v>31</v>
      </c>
      <c r="AB124" s="63">
        <f>+N124*Q124^2/(T124*V124*Y124)</f>
        <v>0.0949006706314058</v>
      </c>
      <c r="AC124" s="63"/>
      <c r="AD124" s="63"/>
      <c r="AE124" s="29" t="s">
        <v>51</v>
      </c>
      <c r="AF124" s="29"/>
      <c r="AG124" s="29"/>
      <c r="AH124" s="27" t="s">
        <v>88</v>
      </c>
      <c r="AI124" s="29"/>
      <c r="AJ124" s="29"/>
      <c r="AT124" s="23"/>
      <c r="BT124" s="29"/>
    </row>
    <row r="125" spans="1:72" ht="12" thickBot="1">
      <c r="A125" s="29"/>
      <c r="B125" s="44"/>
      <c r="C125" s="45"/>
      <c r="D125" s="45"/>
      <c r="E125" s="45"/>
      <c r="F125" s="45"/>
      <c r="G125" s="45"/>
      <c r="H125" s="45"/>
      <c r="I125" s="45"/>
      <c r="J125" s="43"/>
      <c r="K125" s="43"/>
      <c r="L125" s="43"/>
      <c r="M125" s="43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3"/>
      <c r="AL125" s="43"/>
      <c r="AM125" s="43"/>
      <c r="AN125" s="43"/>
      <c r="AO125" s="43"/>
      <c r="AP125" s="43"/>
      <c r="AQ125" s="43"/>
      <c r="AR125" s="43"/>
      <c r="AS125" s="43"/>
      <c r="AT125" s="49"/>
      <c r="BT125" s="29"/>
    </row>
    <row r="126" spans="1:72" ht="12" thickTop="1">
      <c r="A126" s="29"/>
      <c r="B126" s="34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E126" s="29"/>
      <c r="AF126" s="29"/>
      <c r="AG126" s="29"/>
      <c r="AH126" s="29"/>
      <c r="AI126" s="29"/>
      <c r="AJ126" s="29"/>
      <c r="AT126" s="23"/>
      <c r="BT126" s="29"/>
    </row>
    <row r="127" spans="1:72" ht="11.25">
      <c r="A127" s="29"/>
      <c r="B127" s="34"/>
      <c r="C127" s="29"/>
      <c r="D127" s="29"/>
      <c r="E127" s="29"/>
      <c r="F127" s="29"/>
      <c r="G127" s="29"/>
      <c r="H127" s="29"/>
      <c r="I127" s="29"/>
      <c r="J127" s="27" t="s">
        <v>77</v>
      </c>
      <c r="K127" s="65">
        <v>2.56</v>
      </c>
      <c r="L127" s="65"/>
      <c r="M127" s="27" t="s">
        <v>55</v>
      </c>
      <c r="N127" s="29"/>
      <c r="O127" s="27" t="s">
        <v>77</v>
      </c>
      <c r="P127" s="63">
        <f>+K127</f>
        <v>2.56</v>
      </c>
      <c r="Q127" s="63"/>
      <c r="R127" s="27" t="s">
        <v>55</v>
      </c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T127" s="23"/>
      <c r="BT127" s="29"/>
    </row>
    <row r="128" spans="1:72" ht="11.25">
      <c r="A128" s="29"/>
      <c r="B128" s="34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T128" s="23"/>
      <c r="BT128" s="29"/>
    </row>
    <row r="129" spans="1:72" ht="11.25">
      <c r="A129" s="29"/>
      <c r="B129" s="34"/>
      <c r="C129" s="29"/>
      <c r="D129" s="29"/>
      <c r="E129" s="29"/>
      <c r="M129" s="29"/>
      <c r="R129" s="29"/>
      <c r="S129" s="29"/>
      <c r="T129" s="29"/>
      <c r="U129" s="29"/>
      <c r="V129" s="29"/>
      <c r="W129" s="29"/>
      <c r="X129" s="61" t="s">
        <v>251</v>
      </c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T129" s="23"/>
      <c r="BT129" s="29"/>
    </row>
    <row r="130" spans="1:72" ht="11.25">
      <c r="A130" s="29"/>
      <c r="B130" s="34"/>
      <c r="C130" s="29"/>
      <c r="D130" s="29"/>
      <c r="E130" s="24"/>
      <c r="M130" s="29"/>
      <c r="R130" s="29"/>
      <c r="S130" s="29"/>
      <c r="T130" s="29"/>
      <c r="U130" s="29"/>
      <c r="V130" s="29"/>
      <c r="W130" s="29" t="s">
        <v>49</v>
      </c>
      <c r="X130" s="65">
        <v>21000</v>
      </c>
      <c r="Y130" s="65"/>
      <c r="Z130" s="29" t="s">
        <v>53</v>
      </c>
      <c r="AB130" s="29"/>
      <c r="AC130" s="29"/>
      <c r="AD130" s="29"/>
      <c r="AE130" s="29"/>
      <c r="AF130" s="29"/>
      <c r="AG130" s="29"/>
      <c r="AH130" s="29"/>
      <c r="AI130" s="29"/>
      <c r="AJ130" s="29"/>
      <c r="AT130" s="23"/>
      <c r="BT130" s="29"/>
    </row>
    <row r="131" spans="1:72" ht="12" thickBot="1">
      <c r="A131" s="29"/>
      <c r="B131" s="34"/>
      <c r="C131" s="29"/>
      <c r="D131" s="29"/>
      <c r="E131" s="24"/>
      <c r="F131" s="44"/>
      <c r="G131" s="45"/>
      <c r="H131" s="45"/>
      <c r="I131" s="45"/>
      <c r="J131" s="45"/>
      <c r="K131" s="45"/>
      <c r="L131" s="45"/>
      <c r="M131" s="45"/>
      <c r="N131" s="45"/>
      <c r="O131" s="45"/>
      <c r="R131" s="29"/>
      <c r="S131" s="29"/>
      <c r="T131" s="29"/>
      <c r="U131" s="29"/>
      <c r="V131" s="29"/>
      <c r="W131" s="29" t="s">
        <v>50</v>
      </c>
      <c r="X131" s="65">
        <v>5645</v>
      </c>
      <c r="Y131" s="65"/>
      <c r="Z131" s="29" t="s">
        <v>54</v>
      </c>
      <c r="AB131" s="29"/>
      <c r="AC131" s="29"/>
      <c r="AD131" s="29"/>
      <c r="AE131" s="29"/>
      <c r="AF131" s="29"/>
      <c r="AG131" s="29"/>
      <c r="AH131" s="29"/>
      <c r="AI131" s="29"/>
      <c r="AJ131" s="29"/>
      <c r="AT131" s="23"/>
      <c r="BT131" s="29"/>
    </row>
    <row r="132" spans="1:72" ht="12" thickTop="1">
      <c r="A132" s="29"/>
      <c r="B132" s="34"/>
      <c r="C132" s="29"/>
      <c r="D132" s="29"/>
      <c r="E132" s="24"/>
      <c r="F132" s="36" t="s">
        <v>41</v>
      </c>
      <c r="P132" s="27" t="s">
        <v>42</v>
      </c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T132" s="23"/>
      <c r="BT132" s="29"/>
    </row>
    <row r="133" spans="1:72" ht="11.25">
      <c r="A133" s="29"/>
      <c r="B133" s="34"/>
      <c r="C133" s="29" t="s">
        <v>20</v>
      </c>
      <c r="D133" s="29"/>
      <c r="E133" s="29"/>
      <c r="G133" s="63">
        <f>+J135/2</f>
        <v>0.75</v>
      </c>
      <c r="H133" s="63"/>
      <c r="I133" s="27" t="s">
        <v>15</v>
      </c>
      <c r="J133" s="29"/>
      <c r="K133" s="29"/>
      <c r="L133" s="63">
        <f>+G133</f>
        <v>0.75</v>
      </c>
      <c r="M133" s="63"/>
      <c r="N133" s="27" t="s">
        <v>15</v>
      </c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T133" s="23"/>
      <c r="BT133" s="29"/>
    </row>
    <row r="134" spans="1:72" ht="11.25">
      <c r="A134" s="29"/>
      <c r="B134" s="34"/>
      <c r="C134" s="29"/>
      <c r="D134" s="29"/>
      <c r="E134" s="29"/>
      <c r="F134" s="29"/>
      <c r="G134" s="29"/>
      <c r="H134" s="29"/>
      <c r="I134" s="29"/>
      <c r="J134" s="29"/>
      <c r="N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38" t="s">
        <v>197</v>
      </c>
      <c r="AF134" s="29"/>
      <c r="AG134" s="29"/>
      <c r="AH134" s="29"/>
      <c r="AI134" s="29"/>
      <c r="AJ134" s="29"/>
      <c r="AT134" s="23"/>
      <c r="BT134" s="29"/>
    </row>
    <row r="135" spans="1:72" ht="11.25">
      <c r="A135" s="29"/>
      <c r="B135" s="34"/>
      <c r="C135" s="29"/>
      <c r="D135" s="29"/>
      <c r="E135" s="29"/>
      <c r="F135" s="29"/>
      <c r="G135" s="29"/>
      <c r="H135" s="29"/>
      <c r="I135" s="29" t="s">
        <v>25</v>
      </c>
      <c r="J135" s="65">
        <v>1.5</v>
      </c>
      <c r="K135" s="65"/>
      <c r="L135" s="27" t="s">
        <v>15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T135" s="23"/>
      <c r="BT135" s="29"/>
    </row>
    <row r="136" spans="1:72" ht="11.25">
      <c r="A136" s="29"/>
      <c r="B136" s="34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T136" s="23"/>
      <c r="BT136" s="29"/>
    </row>
    <row r="137" spans="1:72" ht="11.25">
      <c r="A137" s="29"/>
      <c r="B137" s="34"/>
      <c r="C137" s="29"/>
      <c r="D137" s="29"/>
      <c r="E137" s="29" t="s">
        <v>35</v>
      </c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T137" s="23"/>
      <c r="BT137" s="29"/>
    </row>
    <row r="138" spans="1:72" ht="11.25">
      <c r="A138" s="29"/>
      <c r="B138" s="34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T138" s="23"/>
      <c r="BT138" s="29"/>
    </row>
    <row r="139" spans="1:72" ht="11.25">
      <c r="A139" s="29"/>
      <c r="B139" s="34"/>
      <c r="C139" s="29"/>
      <c r="D139" s="29"/>
      <c r="E139" s="29"/>
      <c r="F139" s="29"/>
      <c r="G139" s="29" t="s">
        <v>43</v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T139" s="23"/>
      <c r="BT139" s="29"/>
    </row>
    <row r="140" spans="1:72" ht="11.25">
      <c r="A140" s="29"/>
      <c r="B140" s="34"/>
      <c r="C140" s="29"/>
      <c r="D140" s="29"/>
      <c r="E140" s="29"/>
      <c r="F140" s="29"/>
      <c r="G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T140" s="23"/>
      <c r="BT140" s="29"/>
    </row>
    <row r="141" spans="1:72" ht="11.25">
      <c r="A141" s="29"/>
      <c r="B141" s="34"/>
      <c r="C141" s="29"/>
      <c r="D141" s="29" t="s">
        <v>90</v>
      </c>
      <c r="E141" s="29"/>
      <c r="F141" s="29"/>
      <c r="H141" s="27">
        <v>2</v>
      </c>
      <c r="I141" s="36" t="s">
        <v>4</v>
      </c>
      <c r="J141" s="63">
        <f>+K127</f>
        <v>2.56</v>
      </c>
      <c r="K141" s="63"/>
      <c r="L141" s="36" t="s">
        <v>7</v>
      </c>
      <c r="M141" s="63">
        <f>+H141*J141</f>
        <v>5.12</v>
      </c>
      <c r="N141" s="63"/>
      <c r="O141" s="29" t="s">
        <v>55</v>
      </c>
      <c r="P141" s="29"/>
      <c r="Q141" s="29"/>
      <c r="AJ141" s="29"/>
      <c r="AT141" s="23"/>
      <c r="BT141" s="29"/>
    </row>
    <row r="142" spans="1:72" ht="11.25">
      <c r="A142" s="29"/>
      <c r="B142" s="34"/>
      <c r="C142" s="29"/>
      <c r="D142" s="29" t="s">
        <v>89</v>
      </c>
      <c r="E142" s="29"/>
      <c r="F142" s="29"/>
      <c r="G142" s="29"/>
      <c r="J142" s="27">
        <v>3</v>
      </c>
      <c r="K142" s="36" t="s">
        <v>4</v>
      </c>
      <c r="L142" s="69">
        <f>+P127</f>
        <v>2.56</v>
      </c>
      <c r="M142" s="69"/>
      <c r="N142" s="36" t="s">
        <v>4</v>
      </c>
      <c r="O142" s="62">
        <f>+J135</f>
        <v>1.5</v>
      </c>
      <c r="P142" s="62"/>
      <c r="Q142" s="27" t="s">
        <v>6</v>
      </c>
      <c r="R142" s="27">
        <v>2</v>
      </c>
      <c r="S142" s="36" t="s">
        <v>7</v>
      </c>
      <c r="T142" s="63">
        <f>J142*L142*O142/R142</f>
        <v>5.76</v>
      </c>
      <c r="U142" s="63"/>
      <c r="V142" s="29" t="s">
        <v>57</v>
      </c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T142" s="23"/>
      <c r="BT142" s="29"/>
    </row>
    <row r="143" spans="1:72" ht="11.25">
      <c r="A143" s="29"/>
      <c r="B143" s="34"/>
      <c r="C143" s="29"/>
      <c r="D143" s="29" t="s">
        <v>91</v>
      </c>
      <c r="K143" s="36"/>
      <c r="L143" s="36"/>
      <c r="M143" s="36"/>
      <c r="O143" s="27">
        <v>7</v>
      </c>
      <c r="P143" s="36" t="s">
        <v>4</v>
      </c>
      <c r="Q143" s="62">
        <f>+P127</f>
        <v>2.56</v>
      </c>
      <c r="R143" s="62"/>
      <c r="S143" s="39" t="s">
        <v>4</v>
      </c>
      <c r="T143" s="63">
        <f>+J135*100</f>
        <v>150</v>
      </c>
      <c r="U143" s="63"/>
      <c r="V143" s="27" t="s">
        <v>84</v>
      </c>
      <c r="W143" s="27">
        <v>16</v>
      </c>
      <c r="X143" s="36" t="s">
        <v>4</v>
      </c>
      <c r="Y143" s="62">
        <f>+X130</f>
        <v>21000</v>
      </c>
      <c r="Z143" s="62"/>
      <c r="AA143" s="36" t="s">
        <v>4</v>
      </c>
      <c r="AB143" s="63">
        <f>+X131</f>
        <v>5645</v>
      </c>
      <c r="AC143" s="63"/>
      <c r="AD143" s="29" t="s">
        <v>31</v>
      </c>
      <c r="AE143" s="63">
        <f>O143*Q143*T143^3/(W143*Y143*AB143)</f>
        <v>0.03188662533215235</v>
      </c>
      <c r="AF143" s="63"/>
      <c r="AG143" s="63"/>
      <c r="AH143" s="29" t="s">
        <v>51</v>
      </c>
      <c r="AJ143" s="27" t="s">
        <v>88</v>
      </c>
      <c r="AT143" s="23"/>
      <c r="BT143" s="29"/>
    </row>
    <row r="144" spans="1:72" ht="12" thickBot="1">
      <c r="A144" s="29"/>
      <c r="B144" s="44"/>
      <c r="C144" s="45"/>
      <c r="D144" s="45"/>
      <c r="E144" s="45"/>
      <c r="F144" s="45"/>
      <c r="G144" s="45"/>
      <c r="H144" s="45"/>
      <c r="I144" s="45"/>
      <c r="J144" s="43"/>
      <c r="K144" s="43"/>
      <c r="L144" s="43"/>
      <c r="M144" s="43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3"/>
      <c r="AL144" s="43"/>
      <c r="AM144" s="43"/>
      <c r="AN144" s="43"/>
      <c r="AO144" s="43"/>
      <c r="AP144" s="43"/>
      <c r="AQ144" s="43"/>
      <c r="AR144" s="43"/>
      <c r="AS144" s="43"/>
      <c r="AT144" s="49"/>
      <c r="BT144" s="29"/>
    </row>
    <row r="145" spans="1:72" ht="12" thickTop="1">
      <c r="A145" s="29"/>
      <c r="B145" s="30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E145" s="31"/>
      <c r="AF145" s="31"/>
      <c r="AG145" s="31"/>
      <c r="AH145" s="31"/>
      <c r="AI145" s="31"/>
      <c r="AJ145" s="31"/>
      <c r="AK145" s="32"/>
      <c r="AL145" s="32"/>
      <c r="AM145" s="32"/>
      <c r="AN145" s="32"/>
      <c r="AO145" s="32"/>
      <c r="AP145" s="32"/>
      <c r="AQ145" s="32"/>
      <c r="AR145" s="32"/>
      <c r="AS145" s="32"/>
      <c r="AT145" s="33"/>
      <c r="BT145" s="29"/>
    </row>
    <row r="146" spans="1:72" ht="11.25">
      <c r="A146" s="29"/>
      <c r="B146" s="34"/>
      <c r="C146" s="29"/>
      <c r="D146" s="29"/>
      <c r="E146" s="29"/>
      <c r="J146" s="27" t="s">
        <v>24</v>
      </c>
      <c r="K146" s="65">
        <v>2.56</v>
      </c>
      <c r="L146" s="65"/>
      <c r="M146" s="27" t="s">
        <v>69</v>
      </c>
      <c r="R146" s="29"/>
      <c r="S146" s="29"/>
      <c r="T146" s="29"/>
      <c r="U146" s="29"/>
      <c r="V146" s="29"/>
      <c r="W146" s="29"/>
      <c r="X146" s="61" t="s">
        <v>251</v>
      </c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T146" s="23"/>
      <c r="BT146" s="29"/>
    </row>
    <row r="147" spans="1:72" ht="11.25">
      <c r="A147" s="29"/>
      <c r="B147" s="34"/>
      <c r="C147" s="29"/>
      <c r="D147" s="29"/>
      <c r="E147" s="24"/>
      <c r="R147" s="29"/>
      <c r="S147" s="29"/>
      <c r="T147" s="29"/>
      <c r="U147" s="29"/>
      <c r="V147" s="29"/>
      <c r="W147" s="29" t="s">
        <v>49</v>
      </c>
      <c r="X147" s="65">
        <v>21000</v>
      </c>
      <c r="Y147" s="65"/>
      <c r="Z147" s="29" t="s">
        <v>53</v>
      </c>
      <c r="AB147" s="29"/>
      <c r="AC147" s="29"/>
      <c r="AD147" s="29"/>
      <c r="AE147" s="29"/>
      <c r="AF147" s="29"/>
      <c r="AG147" s="29"/>
      <c r="AH147" s="29"/>
      <c r="AI147" s="29"/>
      <c r="AJ147" s="29"/>
      <c r="AT147" s="23"/>
      <c r="BT147" s="29"/>
    </row>
    <row r="148" spans="1:72" ht="12" thickBot="1">
      <c r="A148" s="29"/>
      <c r="B148" s="34"/>
      <c r="C148" s="29"/>
      <c r="D148" s="29"/>
      <c r="E148" s="24"/>
      <c r="F148" s="25"/>
      <c r="G148" s="26"/>
      <c r="H148" s="26"/>
      <c r="I148" s="26"/>
      <c r="J148" s="26"/>
      <c r="K148" s="26"/>
      <c r="L148" s="26"/>
      <c r="M148" s="26"/>
      <c r="N148" s="26"/>
      <c r="O148" s="35"/>
      <c r="P148" s="27" t="s">
        <v>42</v>
      </c>
      <c r="R148" s="29"/>
      <c r="S148" s="29"/>
      <c r="T148" s="29"/>
      <c r="U148" s="29"/>
      <c r="V148" s="29"/>
      <c r="W148" s="29" t="s">
        <v>50</v>
      </c>
      <c r="X148" s="65">
        <v>5645</v>
      </c>
      <c r="Y148" s="65"/>
      <c r="Z148" s="29" t="s">
        <v>54</v>
      </c>
      <c r="AB148" s="29"/>
      <c r="AC148" s="29"/>
      <c r="AD148" s="29"/>
      <c r="AE148" s="29"/>
      <c r="AF148" s="29"/>
      <c r="AG148" s="29"/>
      <c r="AH148" s="29"/>
      <c r="AI148" s="29"/>
      <c r="AJ148" s="29"/>
      <c r="AT148" s="23"/>
      <c r="BT148" s="29"/>
    </row>
    <row r="149" spans="1:72" ht="12" thickTop="1">
      <c r="A149" s="29"/>
      <c r="B149" s="34"/>
      <c r="C149" s="29"/>
      <c r="D149" s="29"/>
      <c r="E149" s="24"/>
      <c r="F149" s="36" t="s">
        <v>41</v>
      </c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T149" s="23"/>
      <c r="BT149" s="29"/>
    </row>
    <row r="150" spans="1:72" ht="11.25">
      <c r="A150" s="29"/>
      <c r="B150" s="34"/>
      <c r="C150" s="29" t="s">
        <v>20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T150" s="23"/>
      <c r="BT150" s="29"/>
    </row>
    <row r="151" spans="1:72" ht="11.25">
      <c r="A151" s="29"/>
      <c r="B151" s="34"/>
      <c r="C151" s="29"/>
      <c r="D151" s="29"/>
      <c r="E151" s="29"/>
      <c r="F151" s="29"/>
      <c r="G151" s="29"/>
      <c r="H151" s="29"/>
      <c r="I151" s="29" t="s">
        <v>25</v>
      </c>
      <c r="J151" s="65">
        <v>1.5</v>
      </c>
      <c r="K151" s="65"/>
      <c r="L151" s="27" t="s">
        <v>15</v>
      </c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T151" s="23"/>
      <c r="BT151" s="29"/>
    </row>
    <row r="152" spans="1:72" ht="11.25">
      <c r="A152" s="29"/>
      <c r="B152" s="34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38" t="s">
        <v>197</v>
      </c>
      <c r="AF152" s="29"/>
      <c r="AG152" s="29"/>
      <c r="AH152" s="29"/>
      <c r="AI152" s="29"/>
      <c r="AJ152" s="29"/>
      <c r="AT152" s="23"/>
      <c r="BT152" s="29"/>
    </row>
    <row r="153" spans="1:72" ht="11.25">
      <c r="A153" s="29"/>
      <c r="B153" s="34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T153" s="23"/>
      <c r="BT153" s="29"/>
    </row>
    <row r="154" spans="1:72" ht="11.25">
      <c r="A154" s="29"/>
      <c r="B154" s="34"/>
      <c r="C154" s="29"/>
      <c r="E154" s="29" t="s">
        <v>35</v>
      </c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T154" s="23"/>
      <c r="BT154" s="29"/>
    </row>
    <row r="155" spans="1:72" ht="11.25">
      <c r="A155" s="29"/>
      <c r="B155" s="34"/>
      <c r="C155" s="29"/>
      <c r="D155" s="29"/>
      <c r="E155" s="29"/>
      <c r="F155" s="29"/>
      <c r="G155" s="29" t="s">
        <v>43</v>
      </c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AE155" s="29"/>
      <c r="AF155" s="29"/>
      <c r="AG155" s="29"/>
      <c r="AH155" s="29"/>
      <c r="AI155" s="29"/>
      <c r="AJ155" s="29"/>
      <c r="AT155" s="23"/>
      <c r="BT155" s="29"/>
    </row>
    <row r="156" spans="1:72" ht="11.25">
      <c r="A156" s="29"/>
      <c r="B156" s="34"/>
      <c r="C156" s="29"/>
      <c r="D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T156" s="23"/>
      <c r="BT156" s="29"/>
    </row>
    <row r="157" spans="1:72" ht="11.25">
      <c r="A157" s="29"/>
      <c r="B157" s="34"/>
      <c r="C157" s="29"/>
      <c r="D157" s="29" t="s">
        <v>199</v>
      </c>
      <c r="E157" s="29"/>
      <c r="F157" s="29"/>
      <c r="G157" s="63">
        <f>+K146</f>
        <v>2.56</v>
      </c>
      <c r="H157" s="63"/>
      <c r="I157" s="36" t="s">
        <v>4</v>
      </c>
      <c r="J157" s="62">
        <f>+J151</f>
        <v>1.5</v>
      </c>
      <c r="K157" s="62"/>
      <c r="L157" s="36" t="s">
        <v>7</v>
      </c>
      <c r="M157" s="62">
        <f>+J157*G157</f>
        <v>3.84</v>
      </c>
      <c r="N157" s="62"/>
      <c r="O157" s="29" t="s">
        <v>55</v>
      </c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T157" s="23"/>
      <c r="BT157" s="29"/>
    </row>
    <row r="158" spans="1:72" ht="11.25">
      <c r="A158" s="29"/>
      <c r="B158" s="34"/>
      <c r="C158" s="29"/>
      <c r="D158" s="29" t="s">
        <v>93</v>
      </c>
      <c r="E158" s="29"/>
      <c r="F158" s="29"/>
      <c r="G158" s="29"/>
      <c r="I158" s="69">
        <f>+K146</f>
        <v>2.56</v>
      </c>
      <c r="J158" s="69"/>
      <c r="K158" s="36" t="s">
        <v>4</v>
      </c>
      <c r="L158" s="62">
        <f>+J151</f>
        <v>1.5</v>
      </c>
      <c r="M158" s="62"/>
      <c r="N158" s="27" t="s">
        <v>92</v>
      </c>
      <c r="O158" s="27">
        <v>2</v>
      </c>
      <c r="P158" s="36" t="s">
        <v>7</v>
      </c>
      <c r="Q158" s="63">
        <f>I158*L158^2/O158</f>
        <v>2.88</v>
      </c>
      <c r="R158" s="63"/>
      <c r="S158" s="29" t="s">
        <v>57</v>
      </c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T158" s="23"/>
      <c r="BT158" s="29"/>
    </row>
    <row r="159" spans="1:72" ht="11.25">
      <c r="A159" s="29"/>
      <c r="B159" s="34"/>
      <c r="C159" s="29"/>
      <c r="D159" s="29" t="s">
        <v>94</v>
      </c>
      <c r="K159" s="36"/>
      <c r="L159" s="36"/>
      <c r="M159" s="36"/>
      <c r="N159" s="62">
        <f>+K146/100</f>
        <v>0.0256</v>
      </c>
      <c r="O159" s="62"/>
      <c r="P159" s="39" t="s">
        <v>4</v>
      </c>
      <c r="Q159" s="63">
        <f>+J151*100</f>
        <v>150</v>
      </c>
      <c r="R159" s="63"/>
      <c r="S159" s="48" t="s">
        <v>95</v>
      </c>
      <c r="T159" s="27">
        <v>8</v>
      </c>
      <c r="U159" s="36" t="s">
        <v>4</v>
      </c>
      <c r="V159" s="62">
        <f>+X147</f>
        <v>21000</v>
      </c>
      <c r="W159" s="62"/>
      <c r="X159" s="36" t="s">
        <v>4</v>
      </c>
      <c r="Y159" s="63">
        <f>+X148</f>
        <v>5645</v>
      </c>
      <c r="Z159" s="63"/>
      <c r="AA159" s="29" t="s">
        <v>31</v>
      </c>
      <c r="AB159" s="63">
        <f>N159*Q159^4/(T159*V159*Y159)</f>
        <v>0.013665696570922434</v>
      </c>
      <c r="AC159" s="63"/>
      <c r="AD159" s="63"/>
      <c r="AE159" s="29" t="s">
        <v>51</v>
      </c>
      <c r="AG159" s="27" t="s">
        <v>88</v>
      </c>
      <c r="AI159" s="29"/>
      <c r="AJ159" s="29"/>
      <c r="AT159" s="23"/>
      <c r="BT159" s="29"/>
    </row>
    <row r="160" spans="1:72" ht="12" thickBot="1">
      <c r="A160" s="29"/>
      <c r="B160" s="44"/>
      <c r="C160" s="45"/>
      <c r="D160" s="45"/>
      <c r="E160" s="45"/>
      <c r="F160" s="45"/>
      <c r="G160" s="45"/>
      <c r="H160" s="45"/>
      <c r="I160" s="45"/>
      <c r="J160" s="43"/>
      <c r="K160" s="43"/>
      <c r="L160" s="43"/>
      <c r="M160" s="43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3"/>
      <c r="AL160" s="43"/>
      <c r="AM160" s="43"/>
      <c r="AN160" s="43"/>
      <c r="AO160" s="43"/>
      <c r="AP160" s="43"/>
      <c r="AQ160" s="43"/>
      <c r="AR160" s="43"/>
      <c r="AS160" s="43"/>
      <c r="AT160" s="49"/>
      <c r="BT160" s="29"/>
    </row>
    <row r="161" spans="1:72" ht="12" thickTop="1">
      <c r="A161" s="29"/>
      <c r="B161" s="34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E161" s="29"/>
      <c r="AF161" s="29"/>
      <c r="AG161" s="29"/>
      <c r="AH161" s="29"/>
      <c r="AI161" s="31"/>
      <c r="AJ161" s="31"/>
      <c r="AK161" s="32"/>
      <c r="AL161" s="32"/>
      <c r="AM161" s="32"/>
      <c r="AT161" s="23"/>
      <c r="BT161" s="29"/>
    </row>
    <row r="162" spans="1:72" ht="11.25">
      <c r="A162" s="29"/>
      <c r="B162" s="34"/>
      <c r="C162" s="29"/>
      <c r="D162" s="29"/>
      <c r="E162" s="29"/>
      <c r="F162" s="29"/>
      <c r="G162" s="29"/>
      <c r="H162" s="29"/>
      <c r="I162" s="29"/>
      <c r="J162" s="27" t="s">
        <v>24</v>
      </c>
      <c r="K162" s="65">
        <v>2.56</v>
      </c>
      <c r="L162" s="65"/>
      <c r="M162" s="27" t="s">
        <v>69</v>
      </c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T162" s="23"/>
      <c r="BT162" s="29"/>
    </row>
    <row r="163" spans="1:72" ht="11.25">
      <c r="A163" s="29"/>
      <c r="B163" s="34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61" t="s">
        <v>251</v>
      </c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T163" s="23"/>
      <c r="BT163" s="29"/>
    </row>
    <row r="164" spans="1:72" ht="11.25">
      <c r="A164" s="29"/>
      <c r="B164" s="34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 t="s">
        <v>49</v>
      </c>
      <c r="X164" s="65">
        <v>21000</v>
      </c>
      <c r="Y164" s="65"/>
      <c r="Z164" s="29" t="s">
        <v>53</v>
      </c>
      <c r="AB164" s="29"/>
      <c r="AC164" s="29"/>
      <c r="AD164" s="29"/>
      <c r="AE164" s="29"/>
      <c r="AF164" s="29"/>
      <c r="AG164" s="29"/>
      <c r="AH164" s="29"/>
      <c r="AI164" s="29"/>
      <c r="AJ164" s="29"/>
      <c r="AT164" s="23"/>
      <c r="BT164" s="29"/>
    </row>
    <row r="165" spans="1:72" ht="11.25">
      <c r="A165" s="29"/>
      <c r="B165" s="34"/>
      <c r="C165" s="29"/>
      <c r="D165" s="29"/>
      <c r="E165" s="29"/>
      <c r="R165" s="29"/>
      <c r="S165" s="29"/>
      <c r="T165" s="29"/>
      <c r="U165" s="29"/>
      <c r="V165" s="29"/>
      <c r="W165" s="29" t="s">
        <v>50</v>
      </c>
      <c r="X165" s="65">
        <v>5645</v>
      </c>
      <c r="Y165" s="65"/>
      <c r="Z165" s="29" t="s">
        <v>54</v>
      </c>
      <c r="AB165" s="29"/>
      <c r="AC165" s="29"/>
      <c r="AD165" s="29"/>
      <c r="AE165" s="29"/>
      <c r="AF165" s="29"/>
      <c r="AG165" s="29"/>
      <c r="AH165" s="29"/>
      <c r="AI165" s="29"/>
      <c r="AJ165" s="29"/>
      <c r="AT165" s="23"/>
      <c r="BT165" s="29"/>
    </row>
    <row r="166" spans="1:72" ht="11.25">
      <c r="A166" s="29"/>
      <c r="B166" s="34"/>
      <c r="C166" s="29"/>
      <c r="D166" s="29"/>
      <c r="E166" s="24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T166" s="23"/>
      <c r="BT166" s="29"/>
    </row>
    <row r="167" spans="1:72" ht="12" thickBot="1">
      <c r="A167" s="29"/>
      <c r="B167" s="34"/>
      <c r="C167" s="29"/>
      <c r="D167" s="29"/>
      <c r="E167" s="24"/>
      <c r="F167" s="44"/>
      <c r="G167" s="45"/>
      <c r="H167" s="45"/>
      <c r="I167" s="45"/>
      <c r="J167" s="45"/>
      <c r="K167" s="45"/>
      <c r="L167" s="45"/>
      <c r="M167" s="45"/>
      <c r="N167" s="45"/>
      <c r="O167" s="45"/>
      <c r="P167" s="27" t="s">
        <v>42</v>
      </c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T167" s="23"/>
      <c r="BT167" s="29"/>
    </row>
    <row r="168" spans="1:72" ht="12" thickTop="1">
      <c r="A168" s="29"/>
      <c r="B168" s="34"/>
      <c r="C168" s="29"/>
      <c r="D168" s="29"/>
      <c r="E168" s="24"/>
      <c r="F168" s="36" t="s">
        <v>41</v>
      </c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T168" s="23"/>
      <c r="BT168" s="29"/>
    </row>
    <row r="169" spans="1:72" ht="11.25">
      <c r="A169" s="29"/>
      <c r="B169" s="34"/>
      <c r="C169" s="29" t="s">
        <v>20</v>
      </c>
      <c r="D169" s="29"/>
      <c r="E169" s="29"/>
      <c r="F169" s="29"/>
      <c r="G169" s="29"/>
      <c r="H169" s="29"/>
      <c r="I169" s="29"/>
      <c r="J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38" t="s">
        <v>197</v>
      </c>
      <c r="AF169" s="29"/>
      <c r="AG169" s="29"/>
      <c r="AH169" s="29"/>
      <c r="AI169" s="29"/>
      <c r="AJ169" s="29"/>
      <c r="AT169" s="23"/>
      <c r="BT169" s="29"/>
    </row>
    <row r="170" spans="1:72" ht="11.25">
      <c r="A170" s="29"/>
      <c r="B170" s="34"/>
      <c r="C170" s="29"/>
      <c r="D170" s="29"/>
      <c r="E170" s="29"/>
      <c r="F170" s="29"/>
      <c r="G170" s="29"/>
      <c r="H170" s="29"/>
      <c r="I170" s="29" t="s">
        <v>25</v>
      </c>
      <c r="J170" s="65">
        <v>1.5</v>
      </c>
      <c r="K170" s="65"/>
      <c r="L170" s="27" t="s">
        <v>15</v>
      </c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T170" s="23"/>
      <c r="BT170" s="29"/>
    </row>
    <row r="171" spans="1:72" ht="11.25">
      <c r="A171" s="29"/>
      <c r="B171" s="34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T171" s="23"/>
      <c r="BT171" s="29"/>
    </row>
    <row r="172" spans="1:72" ht="11.25">
      <c r="A172" s="29"/>
      <c r="B172" s="34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T172" s="23"/>
      <c r="BT172" s="29"/>
    </row>
    <row r="173" spans="1:72" ht="11.25">
      <c r="A173" s="29"/>
      <c r="B173" s="34"/>
      <c r="C173" s="29"/>
      <c r="D173" s="29"/>
      <c r="E173" s="29" t="s">
        <v>35</v>
      </c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T173" s="23"/>
      <c r="BT173" s="29"/>
    </row>
    <row r="174" spans="1:72" ht="11.25">
      <c r="A174" s="29"/>
      <c r="B174" s="34"/>
      <c r="C174" s="29"/>
      <c r="D174" s="29"/>
      <c r="E174" s="29"/>
      <c r="F174" s="29"/>
      <c r="G174" s="29" t="s">
        <v>43</v>
      </c>
      <c r="H174" s="29"/>
      <c r="I174" s="29"/>
      <c r="J174" s="29"/>
      <c r="K174" s="29"/>
      <c r="L174" s="29"/>
      <c r="M174" s="29"/>
      <c r="N174" s="29"/>
      <c r="O174" s="29"/>
      <c r="P174" s="29"/>
      <c r="AC174" s="29"/>
      <c r="AD174" s="29"/>
      <c r="AE174" s="29"/>
      <c r="AF174" s="29"/>
      <c r="AG174" s="29"/>
      <c r="AH174" s="29"/>
      <c r="AI174" s="29"/>
      <c r="AJ174" s="29"/>
      <c r="AT174" s="23"/>
      <c r="BT174" s="29"/>
    </row>
    <row r="175" spans="1:72" ht="11.25">
      <c r="A175" s="29"/>
      <c r="B175" s="34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AC175" s="29"/>
      <c r="AD175" s="29"/>
      <c r="AE175" s="29"/>
      <c r="AF175" s="29"/>
      <c r="AG175" s="29"/>
      <c r="AH175" s="29"/>
      <c r="AI175" s="29"/>
      <c r="AJ175" s="29"/>
      <c r="AT175" s="23"/>
      <c r="BT175" s="29"/>
    </row>
    <row r="176" spans="1:72" ht="11.25">
      <c r="A176" s="29"/>
      <c r="B176" s="34"/>
      <c r="C176" s="29"/>
      <c r="D176" s="29" t="s">
        <v>97</v>
      </c>
      <c r="E176" s="29"/>
      <c r="F176" s="29"/>
      <c r="H176" s="62">
        <f>+K162</f>
        <v>2.56</v>
      </c>
      <c r="I176" s="62"/>
      <c r="J176" s="36" t="s">
        <v>4</v>
      </c>
      <c r="K176" s="63">
        <f>+J170</f>
        <v>1.5</v>
      </c>
      <c r="L176" s="63"/>
      <c r="M176" s="27" t="s">
        <v>6</v>
      </c>
      <c r="N176" s="27">
        <v>2</v>
      </c>
      <c r="O176" s="36" t="s">
        <v>7</v>
      </c>
      <c r="P176" s="62">
        <f>+H176*K176/N176</f>
        <v>1.92</v>
      </c>
      <c r="Q176" s="62"/>
      <c r="R176" s="29" t="s">
        <v>55</v>
      </c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T176" s="23"/>
      <c r="BT176" s="29"/>
    </row>
    <row r="177" spans="1:72" ht="11.25">
      <c r="A177" s="29"/>
      <c r="B177" s="34"/>
      <c r="C177" s="29"/>
      <c r="D177" s="29" t="s">
        <v>96</v>
      </c>
      <c r="E177" s="29"/>
      <c r="F177" s="29"/>
      <c r="G177" s="29"/>
      <c r="I177" s="69">
        <f>+K162</f>
        <v>2.56</v>
      </c>
      <c r="J177" s="69"/>
      <c r="K177" s="36" t="s">
        <v>4</v>
      </c>
      <c r="L177" s="62">
        <f>+J170</f>
        <v>1.5</v>
      </c>
      <c r="M177" s="62"/>
      <c r="N177" s="27" t="s">
        <v>92</v>
      </c>
      <c r="O177" s="27">
        <v>6</v>
      </c>
      <c r="P177" s="36" t="s">
        <v>7</v>
      </c>
      <c r="Q177" s="63">
        <f>I177*L177^2/O177</f>
        <v>0.96</v>
      </c>
      <c r="R177" s="63"/>
      <c r="S177" s="29" t="s">
        <v>57</v>
      </c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T177" s="23"/>
      <c r="BT177" s="29"/>
    </row>
    <row r="178" spans="1:72" ht="11.25">
      <c r="A178" s="29"/>
      <c r="B178" s="34"/>
      <c r="C178" s="29"/>
      <c r="D178" s="29" t="s">
        <v>98</v>
      </c>
      <c r="K178" s="36"/>
      <c r="L178" s="36"/>
      <c r="M178" s="62">
        <f>+K162/100</f>
        <v>0.0256</v>
      </c>
      <c r="N178" s="62"/>
      <c r="O178" s="39" t="s">
        <v>4</v>
      </c>
      <c r="P178" s="63">
        <f>+J170*100</f>
        <v>150</v>
      </c>
      <c r="Q178" s="63"/>
      <c r="R178" s="48" t="s">
        <v>95</v>
      </c>
      <c r="S178" s="27">
        <v>30</v>
      </c>
      <c r="T178" s="36" t="s">
        <v>4</v>
      </c>
      <c r="U178" s="62">
        <f>+X164</f>
        <v>21000</v>
      </c>
      <c r="V178" s="62"/>
      <c r="W178" s="36" t="s">
        <v>4</v>
      </c>
      <c r="X178" s="63">
        <f>+X165</f>
        <v>5645</v>
      </c>
      <c r="Y178" s="63"/>
      <c r="Z178" s="29" t="s">
        <v>31</v>
      </c>
      <c r="AA178" s="63">
        <f>M178*P178^4/(S178*U178*X178)</f>
        <v>0.0036441857522459824</v>
      </c>
      <c r="AB178" s="63"/>
      <c r="AC178" s="63"/>
      <c r="AD178" s="29" t="s">
        <v>51</v>
      </c>
      <c r="AF178" s="27" t="s">
        <v>88</v>
      </c>
      <c r="AI178" s="29"/>
      <c r="AJ178" s="29"/>
      <c r="AT178" s="23"/>
      <c r="BT178" s="29"/>
    </row>
    <row r="179" spans="1:72" ht="12" thickBot="1">
      <c r="A179" s="29"/>
      <c r="B179" s="34"/>
      <c r="C179" s="29"/>
      <c r="D179" s="29"/>
      <c r="E179" s="29"/>
      <c r="F179" s="29"/>
      <c r="G179" s="29"/>
      <c r="H179" s="29"/>
      <c r="I179" s="29"/>
      <c r="AG179" s="29"/>
      <c r="AH179" s="29"/>
      <c r="AI179" s="29"/>
      <c r="AJ179" s="29"/>
      <c r="AT179" s="23"/>
      <c r="BT179" s="29"/>
    </row>
    <row r="180" spans="1:72" ht="12" thickTop="1">
      <c r="A180" s="29"/>
      <c r="B180" s="30"/>
      <c r="C180" s="31"/>
      <c r="D180" s="31"/>
      <c r="E180" s="31"/>
      <c r="F180" s="31"/>
      <c r="G180" s="31"/>
      <c r="H180" s="31"/>
      <c r="I180" s="31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1"/>
      <c r="AH180" s="31"/>
      <c r="AI180" s="31"/>
      <c r="AJ180" s="31"/>
      <c r="AK180" s="32"/>
      <c r="AL180" s="32"/>
      <c r="AM180" s="32"/>
      <c r="AN180" s="32"/>
      <c r="AO180" s="32"/>
      <c r="AP180" s="32"/>
      <c r="AQ180" s="32"/>
      <c r="AR180" s="32"/>
      <c r="AS180" s="32"/>
      <c r="AT180" s="33"/>
      <c r="BT180" s="29"/>
    </row>
    <row r="181" spans="1:72" ht="11.25">
      <c r="A181" s="29"/>
      <c r="B181" s="34"/>
      <c r="C181" s="29"/>
      <c r="D181" s="29"/>
      <c r="E181" s="29"/>
      <c r="F181" s="29"/>
      <c r="G181" s="29"/>
      <c r="H181" s="29"/>
      <c r="I181" s="29"/>
      <c r="AG181" s="29"/>
      <c r="AH181" s="29"/>
      <c r="AI181" s="29"/>
      <c r="AJ181" s="29"/>
      <c r="AT181" s="23"/>
      <c r="BT181" s="29"/>
    </row>
    <row r="182" spans="1:72" ht="11.25">
      <c r="A182" s="29"/>
      <c r="B182" s="34"/>
      <c r="C182" s="29"/>
      <c r="D182" s="29"/>
      <c r="E182" s="29"/>
      <c r="F182" s="29"/>
      <c r="G182" s="29"/>
      <c r="H182" s="29"/>
      <c r="I182" s="29"/>
      <c r="J182" s="27" t="s">
        <v>24</v>
      </c>
      <c r="K182" s="65">
        <v>2.56</v>
      </c>
      <c r="L182" s="65"/>
      <c r="M182" s="27" t="s">
        <v>69</v>
      </c>
      <c r="N182" s="29"/>
      <c r="O182" s="29"/>
      <c r="P182" s="29"/>
      <c r="Q182" s="29"/>
      <c r="R182" s="29"/>
      <c r="AG182" s="29"/>
      <c r="AH182" s="29"/>
      <c r="AI182" s="29"/>
      <c r="AJ182" s="29"/>
      <c r="AT182" s="23"/>
      <c r="BT182" s="29"/>
    </row>
    <row r="183" spans="1:72" ht="11.25">
      <c r="A183" s="29"/>
      <c r="B183" s="34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X183" s="61" t="s">
        <v>251</v>
      </c>
      <c r="AG183" s="29"/>
      <c r="AH183" s="29"/>
      <c r="AI183" s="29"/>
      <c r="AJ183" s="29"/>
      <c r="AT183" s="23"/>
      <c r="BT183" s="29"/>
    </row>
    <row r="184" spans="1:72" ht="11.25">
      <c r="A184" s="29"/>
      <c r="B184" s="34"/>
      <c r="C184" s="29"/>
      <c r="D184" s="29"/>
      <c r="E184" s="29"/>
      <c r="R184" s="29"/>
      <c r="W184" s="29" t="s">
        <v>49</v>
      </c>
      <c r="X184" s="65">
        <v>21000</v>
      </c>
      <c r="Y184" s="65"/>
      <c r="Z184" s="29" t="s">
        <v>53</v>
      </c>
      <c r="AB184" s="29"/>
      <c r="AC184" s="29"/>
      <c r="AD184" s="29"/>
      <c r="AE184" s="29"/>
      <c r="AF184" s="29"/>
      <c r="AG184" s="29"/>
      <c r="AH184" s="29"/>
      <c r="AI184" s="29"/>
      <c r="AJ184" s="29"/>
      <c r="AT184" s="23"/>
      <c r="BT184" s="29"/>
    </row>
    <row r="185" spans="1:72" ht="11.25">
      <c r="A185" s="29"/>
      <c r="B185" s="34"/>
      <c r="C185" s="29"/>
      <c r="D185" s="29"/>
      <c r="E185" s="24"/>
      <c r="R185" s="29"/>
      <c r="W185" s="29" t="s">
        <v>50</v>
      </c>
      <c r="X185" s="65">
        <v>5645</v>
      </c>
      <c r="Y185" s="65"/>
      <c r="Z185" s="29" t="s">
        <v>54</v>
      </c>
      <c r="AB185" s="29"/>
      <c r="AC185" s="29"/>
      <c r="AD185" s="29"/>
      <c r="AE185" s="29"/>
      <c r="AF185" s="29"/>
      <c r="AG185" s="29"/>
      <c r="AH185" s="29"/>
      <c r="AI185" s="29"/>
      <c r="AJ185" s="29"/>
      <c r="AT185" s="23"/>
      <c r="BT185" s="29"/>
    </row>
    <row r="186" spans="1:72" ht="12" thickBot="1">
      <c r="A186" s="29"/>
      <c r="B186" s="34"/>
      <c r="C186" s="29"/>
      <c r="D186" s="29"/>
      <c r="E186" s="24"/>
      <c r="F186" s="44"/>
      <c r="G186" s="45"/>
      <c r="H186" s="45"/>
      <c r="I186" s="45"/>
      <c r="J186" s="45"/>
      <c r="K186" s="45"/>
      <c r="L186" s="45"/>
      <c r="M186" s="45"/>
      <c r="N186" s="45"/>
      <c r="O186" s="45"/>
      <c r="P186" s="27" t="s">
        <v>42</v>
      </c>
      <c r="R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T186" s="23"/>
      <c r="BT186" s="29"/>
    </row>
    <row r="187" spans="1:72" ht="12" thickTop="1">
      <c r="A187" s="29"/>
      <c r="B187" s="34"/>
      <c r="C187" s="29"/>
      <c r="D187" s="29"/>
      <c r="E187" s="24"/>
      <c r="F187" s="36" t="s">
        <v>41</v>
      </c>
      <c r="R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T187" s="23"/>
      <c r="BT187" s="29"/>
    </row>
    <row r="188" spans="1:72" ht="11.25">
      <c r="A188" s="29"/>
      <c r="B188" s="34"/>
      <c r="C188" s="29" t="s">
        <v>20</v>
      </c>
      <c r="D188" s="29"/>
      <c r="E188" s="29"/>
      <c r="F188" s="29"/>
      <c r="G188" s="29"/>
      <c r="H188" s="29"/>
      <c r="I188" s="29"/>
      <c r="J188" s="29"/>
      <c r="N188" s="29"/>
      <c r="Q188" s="29"/>
      <c r="R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T188" s="23"/>
      <c r="BT188" s="29"/>
    </row>
    <row r="189" spans="1:72" ht="11.25">
      <c r="A189" s="29"/>
      <c r="B189" s="34"/>
      <c r="C189" s="29"/>
      <c r="D189" s="29"/>
      <c r="E189" s="29"/>
      <c r="F189" s="29"/>
      <c r="G189" s="29"/>
      <c r="H189" s="29"/>
      <c r="I189" s="29" t="s">
        <v>25</v>
      </c>
      <c r="J189" s="65">
        <v>1.5</v>
      </c>
      <c r="K189" s="65"/>
      <c r="L189" s="27" t="s">
        <v>15</v>
      </c>
      <c r="M189" s="29"/>
      <c r="N189" s="29"/>
      <c r="O189" s="29"/>
      <c r="P189" s="29"/>
      <c r="Q189" s="29"/>
      <c r="R189" s="29"/>
      <c r="W189" s="29"/>
      <c r="X189" s="29"/>
      <c r="Y189" s="29"/>
      <c r="Z189" s="29"/>
      <c r="AA189" s="29"/>
      <c r="AB189" s="29"/>
      <c r="AC189" s="29"/>
      <c r="AD189" s="29"/>
      <c r="AE189" s="38" t="s">
        <v>197</v>
      </c>
      <c r="AF189" s="29"/>
      <c r="AG189" s="29"/>
      <c r="AH189" s="29"/>
      <c r="AI189" s="29"/>
      <c r="AJ189" s="29"/>
      <c r="AT189" s="23"/>
      <c r="BT189" s="29"/>
    </row>
    <row r="190" spans="1:72" ht="11.25">
      <c r="A190" s="29"/>
      <c r="B190" s="34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T190" s="23"/>
      <c r="BT190" s="29"/>
    </row>
    <row r="191" spans="1:72" ht="11.25">
      <c r="A191" s="29"/>
      <c r="B191" s="34"/>
      <c r="C191" s="29"/>
      <c r="D191" s="29"/>
      <c r="E191" s="29" t="s">
        <v>35</v>
      </c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AG191" s="29"/>
      <c r="AH191" s="29"/>
      <c r="AI191" s="29"/>
      <c r="AJ191" s="29"/>
      <c r="AT191" s="23"/>
      <c r="BT191" s="29"/>
    </row>
    <row r="192" spans="1:72" ht="11.25">
      <c r="A192" s="29"/>
      <c r="B192" s="34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AG192" s="29"/>
      <c r="AH192" s="29"/>
      <c r="AI192" s="29"/>
      <c r="AJ192" s="29"/>
      <c r="AT192" s="23"/>
      <c r="BT192" s="29"/>
    </row>
    <row r="193" spans="1:72" ht="11.25">
      <c r="A193" s="29"/>
      <c r="B193" s="34"/>
      <c r="C193" s="29"/>
      <c r="D193" s="29"/>
      <c r="E193" s="29"/>
      <c r="F193" s="29"/>
      <c r="G193" s="29" t="s">
        <v>43</v>
      </c>
      <c r="H193" s="29"/>
      <c r="I193" s="29"/>
      <c r="AG193" s="29"/>
      <c r="AH193" s="29"/>
      <c r="AI193" s="29"/>
      <c r="AJ193" s="29"/>
      <c r="AT193" s="23"/>
      <c r="BT193" s="29"/>
    </row>
    <row r="194" spans="1:72" ht="11.25">
      <c r="A194" s="29"/>
      <c r="B194" s="34"/>
      <c r="C194" s="29"/>
      <c r="D194" s="29"/>
      <c r="E194" s="29"/>
      <c r="F194" s="29"/>
      <c r="G194" s="29"/>
      <c r="H194" s="29"/>
      <c r="AG194" s="29"/>
      <c r="AH194" s="29"/>
      <c r="AI194" s="29"/>
      <c r="AJ194" s="29"/>
      <c r="AT194" s="23"/>
      <c r="BT194" s="29"/>
    </row>
    <row r="195" spans="1:72" ht="11.25">
      <c r="A195" s="29"/>
      <c r="B195" s="34"/>
      <c r="C195" s="29"/>
      <c r="D195" s="29" t="s">
        <v>97</v>
      </c>
      <c r="E195" s="29"/>
      <c r="F195" s="29"/>
      <c r="G195" s="29"/>
      <c r="H195" s="62">
        <f>+K182</f>
        <v>2.56</v>
      </c>
      <c r="I195" s="62"/>
      <c r="J195" s="36" t="s">
        <v>4</v>
      </c>
      <c r="K195" s="63">
        <f>+J189</f>
        <v>1.5</v>
      </c>
      <c r="L195" s="63"/>
      <c r="M195" s="27" t="s">
        <v>6</v>
      </c>
      <c r="N195" s="27">
        <v>2</v>
      </c>
      <c r="O195" s="36" t="s">
        <v>7</v>
      </c>
      <c r="P195" s="62">
        <f>+H195*K195/N195</f>
        <v>1.92</v>
      </c>
      <c r="Q195" s="62"/>
      <c r="R195" s="29" t="s">
        <v>55</v>
      </c>
      <c r="AG195" s="29"/>
      <c r="AH195" s="29"/>
      <c r="AI195" s="29"/>
      <c r="AJ195" s="29"/>
      <c r="AT195" s="23"/>
      <c r="BT195" s="29"/>
    </row>
    <row r="196" spans="1:72" ht="11.25">
      <c r="A196" s="29"/>
      <c r="B196" s="34"/>
      <c r="C196" s="29"/>
      <c r="D196" s="29" t="s">
        <v>225</v>
      </c>
      <c r="E196" s="29"/>
      <c r="F196" s="29"/>
      <c r="G196" s="29"/>
      <c r="I196" s="69">
        <f>+K182</f>
        <v>2.56</v>
      </c>
      <c r="J196" s="69"/>
      <c r="K196" s="36" t="s">
        <v>4</v>
      </c>
      <c r="L196" s="62">
        <f>+J189</f>
        <v>1.5</v>
      </c>
      <c r="M196" s="62"/>
      <c r="N196" s="27" t="s">
        <v>92</v>
      </c>
      <c r="O196" s="27">
        <v>3</v>
      </c>
      <c r="P196" s="36" t="s">
        <v>7</v>
      </c>
      <c r="Q196" s="63">
        <f>I196*L196^2/O196</f>
        <v>1.92</v>
      </c>
      <c r="R196" s="63"/>
      <c r="S196" s="29" t="s">
        <v>57</v>
      </c>
      <c r="AG196" s="29"/>
      <c r="AH196" s="29"/>
      <c r="AI196" s="29"/>
      <c r="AJ196" s="29"/>
      <c r="AT196" s="23"/>
      <c r="BT196" s="29"/>
    </row>
    <row r="197" spans="1:72" ht="11.25">
      <c r="A197" s="29"/>
      <c r="B197" s="34"/>
      <c r="C197" s="29"/>
      <c r="D197" s="29" t="s">
        <v>226</v>
      </c>
      <c r="E197" s="29"/>
      <c r="F197" s="29"/>
      <c r="G197" s="29"/>
      <c r="H197" s="29"/>
      <c r="I197" s="29"/>
      <c r="O197" s="27">
        <v>11</v>
      </c>
      <c r="P197" s="36" t="s">
        <v>4</v>
      </c>
      <c r="Q197" s="62">
        <f>+K182/100</f>
        <v>0.0256</v>
      </c>
      <c r="R197" s="62"/>
      <c r="S197" s="39" t="s">
        <v>4</v>
      </c>
      <c r="T197" s="63">
        <f>+J189*100</f>
        <v>150</v>
      </c>
      <c r="U197" s="63"/>
      <c r="V197" s="48" t="s">
        <v>95</v>
      </c>
      <c r="W197" s="62">
        <v>120</v>
      </c>
      <c r="X197" s="62"/>
      <c r="Y197" s="36" t="s">
        <v>4</v>
      </c>
      <c r="Z197" s="62">
        <f>+X184</f>
        <v>21000</v>
      </c>
      <c r="AA197" s="62"/>
      <c r="AB197" s="36" t="s">
        <v>4</v>
      </c>
      <c r="AC197" s="63">
        <f>+X185</f>
        <v>5645</v>
      </c>
      <c r="AD197" s="63"/>
      <c r="AE197" s="29" t="s">
        <v>31</v>
      </c>
      <c r="AF197" s="63">
        <f>O197*Q197*T197^4/(W197*Z197*AC197)</f>
        <v>0.010021510818676452</v>
      </c>
      <c r="AG197" s="63"/>
      <c r="AH197" s="63"/>
      <c r="AI197" s="29" t="s">
        <v>51</v>
      </c>
      <c r="AL197" s="27" t="s">
        <v>88</v>
      </c>
      <c r="AM197" s="29"/>
      <c r="AT197" s="23"/>
      <c r="BT197" s="29"/>
    </row>
    <row r="198" spans="1:72" ht="12" thickBot="1">
      <c r="A198" s="29"/>
      <c r="B198" s="44"/>
      <c r="C198" s="45"/>
      <c r="D198" s="45"/>
      <c r="E198" s="45"/>
      <c r="F198" s="45"/>
      <c r="G198" s="45"/>
      <c r="H198" s="45"/>
      <c r="I198" s="45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5"/>
      <c r="AH198" s="45"/>
      <c r="AI198" s="45"/>
      <c r="AJ198" s="45"/>
      <c r="AK198" s="43"/>
      <c r="AL198" s="43"/>
      <c r="AM198" s="43"/>
      <c r="AN198" s="43"/>
      <c r="AO198" s="43"/>
      <c r="AP198" s="43"/>
      <c r="AQ198" s="43"/>
      <c r="AR198" s="43"/>
      <c r="AS198" s="43"/>
      <c r="AT198" s="49"/>
      <c r="BT198" s="29"/>
    </row>
    <row r="199" spans="1:72" ht="12" thickTop="1">
      <c r="A199" s="29"/>
      <c r="B199" s="34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E199" s="29"/>
      <c r="AF199" s="29"/>
      <c r="AG199" s="29"/>
      <c r="AH199" s="29"/>
      <c r="AI199" s="29"/>
      <c r="AJ199" s="29"/>
      <c r="AT199" s="23"/>
      <c r="BT199" s="29"/>
    </row>
    <row r="200" spans="1:72" ht="11.25">
      <c r="A200" s="29"/>
      <c r="B200" s="34"/>
      <c r="C200" s="29"/>
      <c r="D200" s="29"/>
      <c r="E200" s="29"/>
      <c r="F200" s="29"/>
      <c r="G200" s="29"/>
      <c r="H200" s="29"/>
      <c r="I200" s="29"/>
      <c r="J200" s="27" t="s">
        <v>77</v>
      </c>
      <c r="K200" s="65">
        <v>2.56</v>
      </c>
      <c r="L200" s="65"/>
      <c r="M200" s="27" t="s">
        <v>55</v>
      </c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T200" s="23"/>
      <c r="BT200" s="29"/>
    </row>
    <row r="201" spans="1:72" ht="11.25">
      <c r="A201" s="29"/>
      <c r="B201" s="34"/>
      <c r="C201" s="29"/>
      <c r="D201" s="29"/>
      <c r="E201" s="29"/>
      <c r="R201" s="29"/>
      <c r="S201" s="29"/>
      <c r="T201" s="29"/>
      <c r="U201" s="29"/>
      <c r="V201" s="29"/>
      <c r="W201" s="29"/>
      <c r="X201" s="61" t="s">
        <v>251</v>
      </c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T201" s="23"/>
      <c r="BT201" s="29"/>
    </row>
    <row r="202" spans="1:72" ht="11.25">
      <c r="A202" s="29"/>
      <c r="B202" s="34"/>
      <c r="C202" s="29"/>
      <c r="D202" s="29"/>
      <c r="E202" s="29"/>
      <c r="R202" s="29"/>
      <c r="S202" s="29"/>
      <c r="T202" s="29"/>
      <c r="U202" s="29"/>
      <c r="V202" s="29"/>
      <c r="W202" s="29" t="s">
        <v>49</v>
      </c>
      <c r="X202" s="65">
        <v>21000</v>
      </c>
      <c r="Y202" s="65"/>
      <c r="Z202" s="29" t="s">
        <v>53</v>
      </c>
      <c r="AB202" s="29"/>
      <c r="AC202" s="29"/>
      <c r="AD202" s="29"/>
      <c r="AE202" s="29"/>
      <c r="AF202" s="29"/>
      <c r="AG202" s="29"/>
      <c r="AH202" s="29"/>
      <c r="AI202" s="29"/>
      <c r="AJ202" s="29"/>
      <c r="AT202" s="23"/>
      <c r="BT202" s="29"/>
    </row>
    <row r="203" spans="1:72" ht="12" thickBot="1">
      <c r="A203" s="29"/>
      <c r="B203" s="34"/>
      <c r="C203" s="29"/>
      <c r="D203" s="29"/>
      <c r="E203" s="29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27" t="s">
        <v>42</v>
      </c>
      <c r="R203" s="29"/>
      <c r="S203" s="29"/>
      <c r="T203" s="29"/>
      <c r="U203" s="29"/>
      <c r="V203" s="29"/>
      <c r="W203" s="29" t="s">
        <v>50</v>
      </c>
      <c r="X203" s="65">
        <v>5645</v>
      </c>
      <c r="Y203" s="65"/>
      <c r="Z203" s="29" t="s">
        <v>54</v>
      </c>
      <c r="AB203" s="29"/>
      <c r="AC203" s="29"/>
      <c r="AD203" s="29"/>
      <c r="AE203" s="29"/>
      <c r="AF203" s="29"/>
      <c r="AG203" s="29"/>
      <c r="AH203" s="29"/>
      <c r="AI203" s="29"/>
      <c r="AJ203" s="29"/>
      <c r="AT203" s="23"/>
      <c r="BT203" s="29"/>
    </row>
    <row r="204" spans="1:72" ht="12.75" thickBot="1" thickTop="1">
      <c r="A204" s="29"/>
      <c r="B204" s="34"/>
      <c r="C204" s="29"/>
      <c r="D204" s="29"/>
      <c r="E204" s="29" t="s">
        <v>41</v>
      </c>
      <c r="F204" s="36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T204" s="23"/>
      <c r="BT204" s="29"/>
    </row>
    <row r="205" spans="1:72" ht="12" thickTop="1">
      <c r="A205" s="29"/>
      <c r="B205" s="34"/>
      <c r="C205" s="29"/>
      <c r="D205" s="29"/>
      <c r="E205" s="37"/>
      <c r="F205" s="37"/>
      <c r="I205" s="29"/>
      <c r="J205" s="29"/>
      <c r="N205" s="29"/>
      <c r="O205" s="37"/>
      <c r="P205" s="37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T205" s="23"/>
      <c r="BT205" s="29"/>
    </row>
    <row r="206" spans="1:72" ht="11.25">
      <c r="A206" s="29"/>
      <c r="B206" s="34"/>
      <c r="C206" s="29"/>
      <c r="D206" s="29"/>
      <c r="E206" s="29"/>
      <c r="G206" s="63">
        <f>+J208/2</f>
        <v>3.85</v>
      </c>
      <c r="H206" s="63"/>
      <c r="I206" s="27" t="s">
        <v>15</v>
      </c>
      <c r="J206" s="29"/>
      <c r="K206" s="29"/>
      <c r="L206" s="63">
        <f>+G206</f>
        <v>3.85</v>
      </c>
      <c r="M206" s="63"/>
      <c r="N206" s="27" t="s">
        <v>15</v>
      </c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T206" s="23"/>
      <c r="BT206" s="29"/>
    </row>
    <row r="207" spans="1:72" ht="11.25">
      <c r="A207" s="29"/>
      <c r="B207" s="34"/>
      <c r="C207" s="29"/>
      <c r="D207" s="29"/>
      <c r="E207" s="29"/>
      <c r="F207" s="29"/>
      <c r="G207" s="29"/>
      <c r="H207" s="29"/>
      <c r="I207" s="29"/>
      <c r="J207" s="29"/>
      <c r="N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T207" s="23"/>
      <c r="BT207" s="29"/>
    </row>
    <row r="208" spans="1:72" ht="11.25">
      <c r="A208" s="29"/>
      <c r="B208" s="34"/>
      <c r="C208" s="29"/>
      <c r="D208" s="29"/>
      <c r="E208" s="29"/>
      <c r="F208" s="29"/>
      <c r="G208" s="29"/>
      <c r="H208" s="29"/>
      <c r="I208" s="29" t="s">
        <v>25</v>
      </c>
      <c r="J208" s="65">
        <v>7.7</v>
      </c>
      <c r="K208" s="65"/>
      <c r="L208" s="27" t="s">
        <v>15</v>
      </c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38" t="s">
        <v>197</v>
      </c>
      <c r="AF208" s="29"/>
      <c r="AG208" s="29"/>
      <c r="AH208" s="29"/>
      <c r="AI208" s="29"/>
      <c r="AJ208" s="29"/>
      <c r="AT208" s="23"/>
      <c r="BT208" s="29"/>
    </row>
    <row r="209" spans="1:72" ht="11.25">
      <c r="A209" s="29"/>
      <c r="B209" s="34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T209" s="23"/>
      <c r="BT209" s="29"/>
    </row>
    <row r="210" spans="1:72" ht="11.25">
      <c r="A210" s="29"/>
      <c r="B210" s="34"/>
      <c r="C210" s="29"/>
      <c r="D210" s="29"/>
      <c r="E210" s="29" t="s">
        <v>35</v>
      </c>
      <c r="F210" s="29"/>
      <c r="G210" s="29"/>
      <c r="H210" s="29"/>
      <c r="I210" s="29"/>
      <c r="J210" s="29"/>
      <c r="K210" s="29"/>
      <c r="L210" s="29"/>
      <c r="M210" s="29"/>
      <c r="N210" s="29"/>
      <c r="O210" s="29" t="s">
        <v>36</v>
      </c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T210" s="23"/>
      <c r="BT210" s="29"/>
    </row>
    <row r="211" spans="1:72" ht="11.25">
      <c r="A211" s="29"/>
      <c r="B211" s="34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T211" s="23"/>
      <c r="BT211" s="29"/>
    </row>
    <row r="212" spans="1:72" ht="11.25">
      <c r="A212" s="29"/>
      <c r="B212" s="34"/>
      <c r="C212" s="29"/>
      <c r="D212" s="29"/>
      <c r="E212" s="29"/>
      <c r="F212" s="29"/>
      <c r="G212" s="29" t="s">
        <v>43</v>
      </c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T212" s="23"/>
      <c r="BT212" s="29"/>
    </row>
    <row r="213" spans="1:72" ht="11.25">
      <c r="A213" s="29"/>
      <c r="B213" s="34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T213" s="23"/>
      <c r="BT213" s="29"/>
    </row>
    <row r="214" spans="1:72" ht="11.25">
      <c r="A214" s="29"/>
      <c r="B214" s="34"/>
      <c r="C214" s="29"/>
      <c r="D214" s="29" t="s">
        <v>101</v>
      </c>
      <c r="E214" s="29"/>
      <c r="F214" s="29"/>
      <c r="H214" s="63">
        <f>+K200</f>
        <v>2.56</v>
      </c>
      <c r="I214" s="63"/>
      <c r="J214" s="27" t="s">
        <v>6</v>
      </c>
      <c r="K214" s="27">
        <v>2</v>
      </c>
      <c r="L214" s="36" t="s">
        <v>7</v>
      </c>
      <c r="M214" s="62">
        <f>H214/K214</f>
        <v>1.28</v>
      </c>
      <c r="N214" s="62"/>
      <c r="O214" s="29" t="s">
        <v>55</v>
      </c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T214" s="23"/>
      <c r="BT214" s="29"/>
    </row>
    <row r="215" spans="1:72" ht="11.25">
      <c r="A215" s="29"/>
      <c r="B215" s="34"/>
      <c r="C215" s="29"/>
      <c r="D215" s="29" t="s">
        <v>99</v>
      </c>
      <c r="E215" s="29"/>
      <c r="F215" s="39"/>
      <c r="G215" s="39"/>
      <c r="H215" s="39"/>
      <c r="I215" s="63">
        <f>+K200</f>
        <v>2.56</v>
      </c>
      <c r="J215" s="63"/>
      <c r="K215" s="39" t="s">
        <v>4</v>
      </c>
      <c r="L215" s="69">
        <f>+J208</f>
        <v>7.7</v>
      </c>
      <c r="M215" s="69"/>
      <c r="N215" s="39" t="s">
        <v>6</v>
      </c>
      <c r="O215" s="27">
        <v>4</v>
      </c>
      <c r="P215" s="36" t="s">
        <v>7</v>
      </c>
      <c r="Q215" s="62">
        <f>I215*L215/O215</f>
        <v>4.928</v>
      </c>
      <c r="R215" s="62"/>
      <c r="S215" s="29" t="s">
        <v>58</v>
      </c>
      <c r="T215" s="29"/>
      <c r="U215" s="29"/>
      <c r="AC215" s="29"/>
      <c r="AD215" s="29"/>
      <c r="AE215" s="29"/>
      <c r="AF215" s="29"/>
      <c r="AG215" s="29"/>
      <c r="AH215" s="29"/>
      <c r="AI215" s="29"/>
      <c r="AJ215" s="29"/>
      <c r="AT215" s="23"/>
      <c r="BT215" s="29"/>
    </row>
    <row r="216" spans="1:72" ht="11.25">
      <c r="A216" s="29"/>
      <c r="B216" s="34"/>
      <c r="C216" s="29"/>
      <c r="D216" s="29" t="s">
        <v>100</v>
      </c>
      <c r="E216" s="29"/>
      <c r="F216" s="39"/>
      <c r="G216" s="39"/>
      <c r="H216" s="39"/>
      <c r="I216" s="39"/>
      <c r="J216" s="39"/>
      <c r="K216" s="39"/>
      <c r="L216" s="39"/>
      <c r="M216" s="69">
        <f>+J208</f>
        <v>7.7</v>
      </c>
      <c r="N216" s="69"/>
      <c r="O216" s="36" t="s">
        <v>45</v>
      </c>
      <c r="P216" s="36">
        <v>2</v>
      </c>
      <c r="Q216" s="36" t="s">
        <v>7</v>
      </c>
      <c r="R216" s="62">
        <f>M216/P216</f>
        <v>3.85</v>
      </c>
      <c r="S216" s="62"/>
      <c r="T216" s="29" t="s">
        <v>15</v>
      </c>
      <c r="X216" s="29"/>
      <c r="Y216" s="29"/>
      <c r="AC216" s="29"/>
      <c r="AD216" s="29"/>
      <c r="AE216" s="29"/>
      <c r="AF216" s="29"/>
      <c r="AG216" s="29"/>
      <c r="AH216" s="29"/>
      <c r="AI216" s="29"/>
      <c r="AJ216" s="29"/>
      <c r="AT216" s="23"/>
      <c r="BT216" s="29"/>
    </row>
    <row r="217" spans="1:72" ht="11.25">
      <c r="A217" s="29"/>
      <c r="B217" s="34"/>
      <c r="C217" s="29"/>
      <c r="D217" s="29" t="s">
        <v>102</v>
      </c>
      <c r="K217" s="36"/>
      <c r="L217" s="36"/>
      <c r="M217" s="62">
        <f>+K200</f>
        <v>2.56</v>
      </c>
      <c r="N217" s="62"/>
      <c r="O217" s="39" t="s">
        <v>4</v>
      </c>
      <c r="P217" s="63">
        <f>+J208*100</f>
        <v>770</v>
      </c>
      <c r="Q217" s="63"/>
      <c r="R217" s="48" t="s">
        <v>103</v>
      </c>
      <c r="S217" s="27">
        <v>48</v>
      </c>
      <c r="T217" s="36" t="s">
        <v>4</v>
      </c>
      <c r="U217" s="62">
        <f>+X202</f>
        <v>21000</v>
      </c>
      <c r="V217" s="62"/>
      <c r="W217" s="36" t="s">
        <v>4</v>
      </c>
      <c r="X217" s="63">
        <f>+X203</f>
        <v>5645</v>
      </c>
      <c r="Y217" s="63"/>
      <c r="Z217" s="29" t="s">
        <v>31</v>
      </c>
      <c r="AA217" s="63">
        <f>M217*P217^3/(S217*U217*X217)</f>
        <v>0.20539395728766854</v>
      </c>
      <c r="AB217" s="63"/>
      <c r="AC217" s="63"/>
      <c r="AD217" s="29" t="s">
        <v>51</v>
      </c>
      <c r="AI217" s="29"/>
      <c r="AJ217" s="29"/>
      <c r="AT217" s="23"/>
      <c r="BT217" s="29"/>
    </row>
    <row r="218" spans="1:72" ht="11.25">
      <c r="A218" s="29"/>
      <c r="B218" s="34"/>
      <c r="C218" s="29"/>
      <c r="D218" s="29" t="s">
        <v>104</v>
      </c>
      <c r="E218" s="29"/>
      <c r="F218" s="39"/>
      <c r="G218" s="39"/>
      <c r="H218" s="39"/>
      <c r="I218" s="39"/>
      <c r="J218" s="39"/>
      <c r="K218" s="39"/>
      <c r="L218" s="69">
        <f>+J208</f>
        <v>7.7</v>
      </c>
      <c r="M218" s="69"/>
      <c r="N218" s="36" t="s">
        <v>45</v>
      </c>
      <c r="O218" s="36">
        <v>2</v>
      </c>
      <c r="P218" s="36" t="s">
        <v>7</v>
      </c>
      <c r="Q218" s="62">
        <f>L218/O218</f>
        <v>3.85</v>
      </c>
      <c r="R218" s="62"/>
      <c r="S218" s="29" t="s">
        <v>15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T218" s="23"/>
      <c r="BT218" s="29"/>
    </row>
    <row r="219" spans="1:72" ht="12" thickBot="1">
      <c r="A219" s="29"/>
      <c r="B219" s="44"/>
      <c r="C219" s="45"/>
      <c r="D219" s="45"/>
      <c r="E219" s="45"/>
      <c r="F219" s="45"/>
      <c r="G219" s="45"/>
      <c r="H219" s="45"/>
      <c r="I219" s="45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3"/>
      <c r="AL219" s="43"/>
      <c r="AM219" s="43"/>
      <c r="AN219" s="43"/>
      <c r="AO219" s="43"/>
      <c r="AP219" s="43"/>
      <c r="AQ219" s="43"/>
      <c r="AR219" s="43"/>
      <c r="AS219" s="43"/>
      <c r="AT219" s="49"/>
      <c r="BT219" s="29"/>
    </row>
    <row r="220" spans="1:72" ht="12" thickTop="1">
      <c r="A220" s="29"/>
      <c r="B220" s="34"/>
      <c r="C220" s="29"/>
      <c r="D220" s="29"/>
      <c r="E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E220" s="29"/>
      <c r="AF220" s="29"/>
      <c r="AG220" s="29"/>
      <c r="AH220" s="29"/>
      <c r="AI220" s="29"/>
      <c r="AJ220" s="31"/>
      <c r="AK220" s="32"/>
      <c r="AL220" s="32"/>
      <c r="AM220" s="32"/>
      <c r="AT220" s="23"/>
      <c r="BT220" s="29"/>
    </row>
    <row r="221" spans="1:72" ht="11.25">
      <c r="A221" s="29"/>
      <c r="B221" s="34"/>
      <c r="C221" s="29"/>
      <c r="D221" s="29"/>
      <c r="E221" s="29"/>
      <c r="F221" s="27" t="s">
        <v>77</v>
      </c>
      <c r="G221" s="65">
        <v>2.56</v>
      </c>
      <c r="H221" s="65"/>
      <c r="I221" s="27" t="s">
        <v>55</v>
      </c>
      <c r="K221" s="27" t="s">
        <v>77</v>
      </c>
      <c r="L221" s="63">
        <f>+G221</f>
        <v>2.56</v>
      </c>
      <c r="M221" s="63"/>
      <c r="N221" s="27" t="s">
        <v>55</v>
      </c>
      <c r="O221" s="29"/>
      <c r="P221" s="29"/>
      <c r="Q221" s="29"/>
      <c r="R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T221" s="23"/>
      <c r="BT221" s="29"/>
    </row>
    <row r="222" spans="1:72" ht="11.25">
      <c r="A222" s="29"/>
      <c r="B222" s="34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T222" s="23"/>
      <c r="BT222" s="29"/>
    </row>
    <row r="223" spans="1:72" ht="11.25">
      <c r="A223" s="29"/>
      <c r="B223" s="34"/>
      <c r="C223" s="29"/>
      <c r="D223" s="29"/>
      <c r="E223" s="29"/>
      <c r="R223" s="29"/>
      <c r="S223" s="29"/>
      <c r="T223" s="29"/>
      <c r="U223" s="29"/>
      <c r="V223" s="29"/>
      <c r="W223" s="29"/>
      <c r="X223" s="61" t="s">
        <v>251</v>
      </c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T223" s="23"/>
      <c r="BT223" s="29"/>
    </row>
    <row r="224" spans="1:72" ht="11.25">
      <c r="A224" s="29"/>
      <c r="B224" s="34"/>
      <c r="C224" s="29"/>
      <c r="D224" s="29"/>
      <c r="E224" s="29"/>
      <c r="R224" s="29"/>
      <c r="S224" s="29"/>
      <c r="T224" s="29"/>
      <c r="U224" s="29"/>
      <c r="V224" s="29"/>
      <c r="W224" s="29" t="s">
        <v>49</v>
      </c>
      <c r="X224" s="65">
        <v>21000</v>
      </c>
      <c r="Y224" s="65"/>
      <c r="Z224" s="29" t="s">
        <v>53</v>
      </c>
      <c r="AB224" s="29"/>
      <c r="AC224" s="29"/>
      <c r="AD224" s="29"/>
      <c r="AE224" s="29"/>
      <c r="AF224" s="29"/>
      <c r="AG224" s="29"/>
      <c r="AH224" s="29"/>
      <c r="AI224" s="29"/>
      <c r="AJ224" s="29"/>
      <c r="AT224" s="23"/>
      <c r="BT224" s="29"/>
    </row>
    <row r="225" spans="1:72" ht="12" thickBot="1">
      <c r="A225" s="29"/>
      <c r="B225" s="34"/>
      <c r="C225" s="29"/>
      <c r="D225" s="29"/>
      <c r="E225" s="29" t="s">
        <v>41</v>
      </c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27" t="s">
        <v>42</v>
      </c>
      <c r="R225" s="29"/>
      <c r="S225" s="29"/>
      <c r="T225" s="29"/>
      <c r="U225" s="29"/>
      <c r="V225" s="29"/>
      <c r="W225" s="29" t="s">
        <v>50</v>
      </c>
      <c r="X225" s="65">
        <v>5645</v>
      </c>
      <c r="Y225" s="65"/>
      <c r="Z225" s="29" t="s">
        <v>54</v>
      </c>
      <c r="AB225" s="29"/>
      <c r="AC225" s="29"/>
      <c r="AD225" s="29"/>
      <c r="AE225" s="29"/>
      <c r="AF225" s="29"/>
      <c r="AG225" s="29"/>
      <c r="AH225" s="29"/>
      <c r="AI225" s="29"/>
      <c r="AJ225" s="29"/>
      <c r="AT225" s="23"/>
      <c r="BT225" s="29"/>
    </row>
    <row r="226" spans="1:72" ht="12.75" thickBot="1" thickTop="1">
      <c r="A226" s="29"/>
      <c r="B226" s="34"/>
      <c r="C226" s="29"/>
      <c r="D226" s="29"/>
      <c r="E226" s="29"/>
      <c r="F226" s="36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T226" s="23"/>
      <c r="BT226" s="29"/>
    </row>
    <row r="227" spans="1:72" ht="12" thickTop="1">
      <c r="A227" s="29"/>
      <c r="B227" s="34"/>
      <c r="C227" s="29"/>
      <c r="D227" s="29"/>
      <c r="E227" s="37"/>
      <c r="F227" s="37"/>
      <c r="J227" s="29"/>
      <c r="N227" s="29"/>
      <c r="O227" s="37"/>
      <c r="P227" s="37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T227" s="23"/>
      <c r="BT227" s="29"/>
    </row>
    <row r="228" spans="1:72" ht="11.25">
      <c r="A228" s="29"/>
      <c r="B228" s="34"/>
      <c r="C228" s="29"/>
      <c r="D228" s="29"/>
      <c r="E228" s="29"/>
      <c r="F228" s="63">
        <f>+J230/3</f>
        <v>2.566666666666667</v>
      </c>
      <c r="G228" s="63"/>
      <c r="H228" s="27" t="s">
        <v>15</v>
      </c>
      <c r="J228" s="63">
        <f>+F228</f>
        <v>2.566666666666667</v>
      </c>
      <c r="K228" s="63"/>
      <c r="L228" s="27" t="s">
        <v>15</v>
      </c>
      <c r="M228" s="62">
        <f>+J228</f>
        <v>2.566666666666667</v>
      </c>
      <c r="N228" s="62"/>
      <c r="O228" s="27" t="s">
        <v>15</v>
      </c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T228" s="23"/>
      <c r="BT228" s="29"/>
    </row>
    <row r="229" spans="1:72" ht="11.25">
      <c r="A229" s="29"/>
      <c r="B229" s="34"/>
      <c r="C229" s="29"/>
      <c r="D229" s="29"/>
      <c r="E229" s="29"/>
      <c r="F229" s="29"/>
      <c r="G229" s="29"/>
      <c r="H229" s="29"/>
      <c r="I229" s="29"/>
      <c r="J229" s="29"/>
      <c r="N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T229" s="23"/>
      <c r="BT229" s="29"/>
    </row>
    <row r="230" spans="1:72" ht="11.25">
      <c r="A230" s="29"/>
      <c r="B230" s="34"/>
      <c r="C230" s="29"/>
      <c r="D230" s="29"/>
      <c r="E230" s="29"/>
      <c r="F230" s="29"/>
      <c r="G230" s="29"/>
      <c r="H230" s="29"/>
      <c r="I230" s="29" t="s">
        <v>25</v>
      </c>
      <c r="J230" s="65">
        <v>7.7</v>
      </c>
      <c r="K230" s="65"/>
      <c r="L230" s="27" t="s">
        <v>15</v>
      </c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38" t="s">
        <v>197</v>
      </c>
      <c r="AE230" s="29"/>
      <c r="AF230" s="29"/>
      <c r="AG230" s="29"/>
      <c r="AH230" s="29"/>
      <c r="AI230" s="29"/>
      <c r="AJ230" s="29"/>
      <c r="AT230" s="23"/>
      <c r="BT230" s="29"/>
    </row>
    <row r="231" spans="1:72" ht="11.25">
      <c r="A231" s="29"/>
      <c r="B231" s="34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T231" s="23"/>
      <c r="BT231" s="29"/>
    </row>
    <row r="232" spans="1:72" ht="11.25">
      <c r="A232" s="29"/>
      <c r="B232" s="34"/>
      <c r="C232" s="29"/>
      <c r="D232" s="29"/>
      <c r="E232" s="29" t="s">
        <v>35</v>
      </c>
      <c r="F232" s="29"/>
      <c r="G232" s="29"/>
      <c r="H232" s="29"/>
      <c r="I232" s="29"/>
      <c r="J232" s="29"/>
      <c r="K232" s="29"/>
      <c r="L232" s="29"/>
      <c r="M232" s="29"/>
      <c r="N232" s="29"/>
      <c r="O232" s="29" t="s">
        <v>36</v>
      </c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T232" s="23"/>
      <c r="BT232" s="29"/>
    </row>
    <row r="233" spans="1:72" ht="11.25">
      <c r="A233" s="29"/>
      <c r="B233" s="34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T233" s="23"/>
      <c r="BT233" s="29"/>
    </row>
    <row r="234" spans="1:72" ht="11.25">
      <c r="A234" s="29"/>
      <c r="B234" s="34"/>
      <c r="C234" s="29"/>
      <c r="D234" s="29"/>
      <c r="E234" s="29"/>
      <c r="F234" s="29"/>
      <c r="G234" s="29" t="s">
        <v>43</v>
      </c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T234" s="23"/>
      <c r="BT234" s="29"/>
    </row>
    <row r="235" spans="1:72" ht="11.25">
      <c r="A235" s="29"/>
      <c r="B235" s="34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51"/>
      <c r="P235" s="51"/>
      <c r="Q235" s="36"/>
      <c r="R235" s="36"/>
      <c r="S235" s="36"/>
      <c r="V235" s="29"/>
      <c r="AD235" s="29"/>
      <c r="AE235" s="29"/>
      <c r="AF235" s="29"/>
      <c r="AG235" s="29"/>
      <c r="AH235" s="29"/>
      <c r="AI235" s="29"/>
      <c r="AJ235" s="29"/>
      <c r="AT235" s="23"/>
      <c r="BT235" s="29"/>
    </row>
    <row r="236" spans="1:72" ht="11.25">
      <c r="A236" s="29"/>
      <c r="B236" s="34"/>
      <c r="C236" s="29"/>
      <c r="D236" s="29" t="s">
        <v>105</v>
      </c>
      <c r="E236" s="29"/>
      <c r="F236" s="29"/>
      <c r="H236" s="63">
        <f>+G221</f>
        <v>2.56</v>
      </c>
      <c r="I236" s="63"/>
      <c r="J236" s="29" t="s">
        <v>55</v>
      </c>
      <c r="L236" s="36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T236" s="23"/>
      <c r="BT236" s="29"/>
    </row>
    <row r="237" spans="1:72" ht="11.25">
      <c r="A237" s="29"/>
      <c r="B237" s="34"/>
      <c r="C237" s="29"/>
      <c r="D237" s="29" t="s">
        <v>106</v>
      </c>
      <c r="E237" s="29"/>
      <c r="F237" s="39"/>
      <c r="G237" s="39"/>
      <c r="H237" s="39"/>
      <c r="I237" s="63">
        <f>+G221</f>
        <v>2.56</v>
      </c>
      <c r="J237" s="63"/>
      <c r="K237" s="39" t="s">
        <v>4</v>
      </c>
      <c r="L237" s="69">
        <f>+J230</f>
        <v>7.7</v>
      </c>
      <c r="M237" s="69"/>
      <c r="N237" s="39" t="s">
        <v>6</v>
      </c>
      <c r="O237" s="27">
        <v>3</v>
      </c>
      <c r="P237" s="36" t="s">
        <v>7</v>
      </c>
      <c r="Q237" s="62">
        <f>I237*L237^2/O237</f>
        <v>50.59413333333334</v>
      </c>
      <c r="R237" s="62"/>
      <c r="S237" s="29" t="s">
        <v>58</v>
      </c>
      <c r="T237" s="29"/>
      <c r="U237" s="29"/>
      <c r="AC237" s="29"/>
      <c r="AD237" s="29"/>
      <c r="AE237" s="29"/>
      <c r="AF237" s="29"/>
      <c r="AG237" s="29"/>
      <c r="AH237" s="29"/>
      <c r="AI237" s="29"/>
      <c r="AJ237" s="29"/>
      <c r="AT237" s="23"/>
      <c r="BT237" s="29"/>
    </row>
    <row r="238" spans="1:72" ht="11.25">
      <c r="A238" s="29"/>
      <c r="B238" s="34"/>
      <c r="C238" s="29"/>
      <c r="D238" s="29" t="s">
        <v>108</v>
      </c>
      <c r="E238" s="29"/>
      <c r="F238" s="39"/>
      <c r="G238" s="39"/>
      <c r="H238" s="39"/>
      <c r="I238" s="39"/>
      <c r="J238" s="39"/>
      <c r="K238" s="39"/>
      <c r="L238" s="39"/>
      <c r="X238" s="29"/>
      <c r="Y238" s="29"/>
      <c r="AC238" s="29"/>
      <c r="AD238" s="29"/>
      <c r="AE238" s="29"/>
      <c r="AF238" s="29"/>
      <c r="AG238" s="29"/>
      <c r="AH238" s="29"/>
      <c r="AI238" s="29"/>
      <c r="AJ238" s="29"/>
      <c r="AT238" s="23"/>
      <c r="BT238" s="29"/>
    </row>
    <row r="239" spans="1:72" ht="11.25">
      <c r="A239" s="29"/>
      <c r="B239" s="34"/>
      <c r="C239" s="29"/>
      <c r="D239" s="29" t="s">
        <v>107</v>
      </c>
      <c r="K239" s="36"/>
      <c r="L239" s="36"/>
      <c r="O239" s="27">
        <v>23</v>
      </c>
      <c r="P239" s="36" t="s">
        <v>4</v>
      </c>
      <c r="Q239" s="62">
        <f>+G221</f>
        <v>2.56</v>
      </c>
      <c r="R239" s="62"/>
      <c r="S239" s="39" t="s">
        <v>4</v>
      </c>
      <c r="T239" s="63">
        <f>+J230*100</f>
        <v>770</v>
      </c>
      <c r="U239" s="63"/>
      <c r="V239" s="48" t="s">
        <v>103</v>
      </c>
      <c r="W239" s="62">
        <v>648</v>
      </c>
      <c r="X239" s="62"/>
      <c r="Y239" s="36" t="s">
        <v>4</v>
      </c>
      <c r="Z239" s="62">
        <f>+X224</f>
        <v>21000</v>
      </c>
      <c r="AA239" s="62"/>
      <c r="AB239" s="36" t="s">
        <v>4</v>
      </c>
      <c r="AC239" s="63">
        <f>+X225</f>
        <v>5645</v>
      </c>
      <c r="AD239" s="63"/>
      <c r="AE239" s="29" t="s">
        <v>31</v>
      </c>
      <c r="AF239" s="63">
        <f>O239*Q239*T239^3/(W239*Z239*AC239)</f>
        <v>0.3499304457493612</v>
      </c>
      <c r="AG239" s="63"/>
      <c r="AH239" s="63"/>
      <c r="AI239" s="29" t="s">
        <v>51</v>
      </c>
      <c r="AJ239" s="29"/>
      <c r="AT239" s="23"/>
      <c r="BT239" s="29"/>
    </row>
    <row r="240" spans="1:72" ht="11.25">
      <c r="A240" s="29"/>
      <c r="B240" s="34"/>
      <c r="C240" s="29"/>
      <c r="D240" s="29" t="s">
        <v>104</v>
      </c>
      <c r="E240" s="29"/>
      <c r="F240" s="39"/>
      <c r="G240" s="39"/>
      <c r="H240" s="39"/>
      <c r="I240" s="39"/>
      <c r="J240" s="39"/>
      <c r="K240" s="39"/>
      <c r="L240" s="69">
        <f>+J230</f>
        <v>7.7</v>
      </c>
      <c r="M240" s="69"/>
      <c r="N240" s="36" t="s">
        <v>45</v>
      </c>
      <c r="O240" s="36">
        <v>2</v>
      </c>
      <c r="P240" s="36" t="s">
        <v>7</v>
      </c>
      <c r="Q240" s="62">
        <f>L240/O240</f>
        <v>3.85</v>
      </c>
      <c r="R240" s="62"/>
      <c r="S240" s="29" t="s">
        <v>15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T240" s="23"/>
      <c r="BT240" s="29"/>
    </row>
    <row r="241" spans="1:72" ht="12" thickBot="1">
      <c r="A241" s="29"/>
      <c r="B241" s="44"/>
      <c r="C241" s="45"/>
      <c r="D241" s="45"/>
      <c r="E241" s="45"/>
      <c r="F241" s="45"/>
      <c r="G241" s="45"/>
      <c r="H241" s="45"/>
      <c r="I241" s="45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3"/>
      <c r="AL241" s="43"/>
      <c r="AM241" s="43"/>
      <c r="AT241" s="23"/>
      <c r="BT241" s="29"/>
    </row>
    <row r="242" spans="1:72" ht="12" thickTop="1">
      <c r="A242" s="29"/>
      <c r="B242" s="30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E242" s="31"/>
      <c r="AF242" s="31"/>
      <c r="AG242" s="31"/>
      <c r="AH242" s="31"/>
      <c r="AI242" s="31"/>
      <c r="AJ242" s="31"/>
      <c r="AK242" s="32"/>
      <c r="AL242" s="32"/>
      <c r="AM242" s="32"/>
      <c r="AN242" s="32"/>
      <c r="AO242" s="32"/>
      <c r="AP242" s="32"/>
      <c r="AQ242" s="32"/>
      <c r="AR242" s="32"/>
      <c r="AS242" s="32"/>
      <c r="AT242" s="33"/>
      <c r="BT242" s="29"/>
    </row>
    <row r="243" spans="1:72" ht="11.25">
      <c r="A243" s="29"/>
      <c r="B243" s="34"/>
      <c r="C243" s="29"/>
      <c r="D243" s="29"/>
      <c r="E243" s="29"/>
      <c r="J243" s="27" t="s">
        <v>24</v>
      </c>
      <c r="K243" s="65">
        <v>2.56</v>
      </c>
      <c r="L243" s="65"/>
      <c r="M243" s="27" t="s">
        <v>69</v>
      </c>
      <c r="R243" s="29"/>
      <c r="S243" s="29"/>
      <c r="T243" s="29"/>
      <c r="U243" s="29"/>
      <c r="V243" s="29"/>
      <c r="W243" s="29"/>
      <c r="X243" s="61" t="s">
        <v>251</v>
      </c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T243" s="23"/>
      <c r="BT243" s="29"/>
    </row>
    <row r="244" spans="1:72" ht="11.25">
      <c r="A244" s="29"/>
      <c r="B244" s="34"/>
      <c r="C244" s="29"/>
      <c r="D244" s="29"/>
      <c r="E244" s="29"/>
      <c r="R244" s="29"/>
      <c r="S244" s="29"/>
      <c r="T244" s="29"/>
      <c r="U244" s="29"/>
      <c r="V244" s="29"/>
      <c r="W244" s="29" t="s">
        <v>49</v>
      </c>
      <c r="X244" s="65">
        <v>21000</v>
      </c>
      <c r="Y244" s="65"/>
      <c r="Z244" s="29" t="s">
        <v>53</v>
      </c>
      <c r="AB244" s="29"/>
      <c r="AC244" s="29"/>
      <c r="AD244" s="29"/>
      <c r="AE244" s="29"/>
      <c r="AF244" s="29"/>
      <c r="AG244" s="29"/>
      <c r="AH244" s="29"/>
      <c r="AI244" s="29"/>
      <c r="AJ244" s="29"/>
      <c r="AT244" s="23"/>
      <c r="BT244" s="29"/>
    </row>
    <row r="245" spans="1:72" ht="12" thickBot="1">
      <c r="A245" s="29"/>
      <c r="B245" s="34"/>
      <c r="C245" s="29"/>
      <c r="D245" s="29"/>
      <c r="E245" s="29" t="s">
        <v>41</v>
      </c>
      <c r="F245" s="26"/>
      <c r="G245" s="26"/>
      <c r="H245" s="26"/>
      <c r="I245" s="26"/>
      <c r="J245" s="26"/>
      <c r="K245" s="26"/>
      <c r="L245" s="26"/>
      <c r="M245" s="26"/>
      <c r="N245" s="26"/>
      <c r="O245" s="35"/>
      <c r="P245" s="27" t="s">
        <v>42</v>
      </c>
      <c r="R245" s="29"/>
      <c r="S245" s="29"/>
      <c r="T245" s="29"/>
      <c r="U245" s="29"/>
      <c r="V245" s="29"/>
      <c r="W245" s="29" t="s">
        <v>50</v>
      </c>
      <c r="X245" s="65">
        <v>5645</v>
      </c>
      <c r="Y245" s="65"/>
      <c r="Z245" s="29" t="s">
        <v>54</v>
      </c>
      <c r="AB245" s="29"/>
      <c r="AC245" s="29"/>
      <c r="AD245" s="29"/>
      <c r="AE245" s="29"/>
      <c r="AF245" s="29"/>
      <c r="AG245" s="29"/>
      <c r="AH245" s="29"/>
      <c r="AI245" s="29"/>
      <c r="AJ245" s="29"/>
      <c r="AT245" s="23"/>
      <c r="BT245" s="29"/>
    </row>
    <row r="246" spans="1:72" ht="12.75" thickBot="1" thickTop="1">
      <c r="A246" s="29"/>
      <c r="B246" s="34"/>
      <c r="C246" s="29"/>
      <c r="D246" s="29"/>
      <c r="E246" s="29"/>
      <c r="F246" s="36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T246" s="23"/>
      <c r="BT246" s="29"/>
    </row>
    <row r="247" spans="1:72" ht="12" thickTop="1">
      <c r="A247" s="29"/>
      <c r="B247" s="34"/>
      <c r="C247" s="29"/>
      <c r="D247" s="29"/>
      <c r="E247" s="37"/>
      <c r="F247" s="37"/>
      <c r="G247" s="29"/>
      <c r="H247" s="29"/>
      <c r="I247" s="29"/>
      <c r="J247" s="29"/>
      <c r="K247" s="29"/>
      <c r="L247" s="29"/>
      <c r="M247" s="29"/>
      <c r="N247" s="29"/>
      <c r="O247" s="37"/>
      <c r="P247" s="37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T247" s="23"/>
      <c r="BT247" s="29"/>
    </row>
    <row r="248" spans="1:72" ht="11.25">
      <c r="A248" s="29"/>
      <c r="B248" s="34"/>
      <c r="C248" s="29"/>
      <c r="D248" s="29"/>
      <c r="E248" s="29"/>
      <c r="F248" s="29"/>
      <c r="G248" s="29"/>
      <c r="H248" s="29"/>
      <c r="I248" s="29" t="s">
        <v>25</v>
      </c>
      <c r="J248" s="65">
        <v>5</v>
      </c>
      <c r="K248" s="65"/>
      <c r="L248" s="27" t="s">
        <v>15</v>
      </c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T248" s="23"/>
      <c r="BT248" s="29"/>
    </row>
    <row r="249" spans="1:72" ht="11.25">
      <c r="A249" s="29"/>
      <c r="B249" s="34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38" t="s">
        <v>197</v>
      </c>
      <c r="AE249" s="29"/>
      <c r="AF249" s="29"/>
      <c r="AG249" s="29"/>
      <c r="AH249" s="29"/>
      <c r="AI249" s="29"/>
      <c r="AJ249" s="29"/>
      <c r="AT249" s="23"/>
      <c r="BT249" s="29"/>
    </row>
    <row r="250" spans="1:72" ht="11.25">
      <c r="A250" s="29"/>
      <c r="B250" s="34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T250" s="23"/>
      <c r="BT250" s="29"/>
    </row>
    <row r="251" spans="1:72" ht="11.25">
      <c r="A251" s="29"/>
      <c r="B251" s="34"/>
      <c r="C251" s="29"/>
      <c r="E251" s="29" t="s">
        <v>35</v>
      </c>
      <c r="F251" s="29"/>
      <c r="G251" s="29"/>
      <c r="H251" s="29"/>
      <c r="I251" s="29"/>
      <c r="J251" s="29"/>
      <c r="K251" s="29"/>
      <c r="L251" s="29"/>
      <c r="M251" s="29"/>
      <c r="N251" s="29"/>
      <c r="O251" s="29" t="s">
        <v>36</v>
      </c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T251" s="23"/>
      <c r="BT251" s="29"/>
    </row>
    <row r="252" spans="1:72" ht="11.25">
      <c r="A252" s="29"/>
      <c r="B252" s="34"/>
      <c r="C252" s="29"/>
      <c r="D252" s="29"/>
      <c r="E252" s="29"/>
      <c r="F252" s="29"/>
      <c r="G252" s="29" t="s">
        <v>43</v>
      </c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AE252" s="29"/>
      <c r="AF252" s="29"/>
      <c r="AG252" s="29"/>
      <c r="AH252" s="29"/>
      <c r="AI252" s="29"/>
      <c r="AJ252" s="29"/>
      <c r="AT252" s="23"/>
      <c r="BT252" s="29"/>
    </row>
    <row r="253" spans="1:72" ht="11.25">
      <c r="A253" s="29"/>
      <c r="B253" s="34"/>
      <c r="C253" s="29"/>
      <c r="D253" s="29"/>
      <c r="AJ253" s="29"/>
      <c r="AT253" s="23"/>
      <c r="BT253" s="29"/>
    </row>
    <row r="254" spans="1:72" ht="11.25">
      <c r="A254" s="29"/>
      <c r="B254" s="34"/>
      <c r="C254" s="29"/>
      <c r="D254" s="29" t="s">
        <v>109</v>
      </c>
      <c r="E254" s="29"/>
      <c r="F254" s="39"/>
      <c r="G254" s="39"/>
      <c r="I254" s="63">
        <f>+K243</f>
        <v>2.56</v>
      </c>
      <c r="J254" s="63"/>
      <c r="K254" s="39" t="s">
        <v>4</v>
      </c>
      <c r="L254" s="69">
        <f>+J248</f>
        <v>5</v>
      </c>
      <c r="M254" s="69"/>
      <c r="N254" s="29" t="s">
        <v>6</v>
      </c>
      <c r="O254" s="36">
        <v>2</v>
      </c>
      <c r="P254" s="36" t="s">
        <v>7</v>
      </c>
      <c r="Q254" s="62">
        <f>I254*L254/O254</f>
        <v>6.4</v>
      </c>
      <c r="R254" s="62"/>
      <c r="S254" s="29" t="s">
        <v>55</v>
      </c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T254" s="23"/>
      <c r="BT254" s="29"/>
    </row>
    <row r="255" spans="1:72" ht="11.25">
      <c r="A255" s="29"/>
      <c r="B255" s="34"/>
      <c r="C255" s="29"/>
      <c r="D255" s="29" t="s">
        <v>110</v>
      </c>
      <c r="E255" s="29"/>
      <c r="F255" s="39"/>
      <c r="G255" s="39"/>
      <c r="H255" s="39"/>
      <c r="I255" s="63">
        <f>+K243</f>
        <v>2.56</v>
      </c>
      <c r="J255" s="63"/>
      <c r="K255" s="39" t="s">
        <v>4</v>
      </c>
      <c r="L255" s="69">
        <f>+J248</f>
        <v>5</v>
      </c>
      <c r="M255" s="69"/>
      <c r="N255" s="39" t="s">
        <v>23</v>
      </c>
      <c r="O255" s="27">
        <v>8</v>
      </c>
      <c r="P255" s="36" t="s">
        <v>7</v>
      </c>
      <c r="Q255" s="62">
        <f>I255*L255^2/O255</f>
        <v>8</v>
      </c>
      <c r="R255" s="62"/>
      <c r="S255" s="29" t="s">
        <v>58</v>
      </c>
      <c r="T255" s="29"/>
      <c r="U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T255" s="23"/>
      <c r="BT255" s="29"/>
    </row>
    <row r="256" spans="1:72" ht="11.25">
      <c r="A256" s="29"/>
      <c r="B256" s="34"/>
      <c r="C256" s="29"/>
      <c r="D256" s="29" t="s">
        <v>100</v>
      </c>
      <c r="E256" s="29"/>
      <c r="F256" s="39"/>
      <c r="G256" s="39"/>
      <c r="H256" s="39"/>
      <c r="I256" s="39"/>
      <c r="J256" s="39"/>
      <c r="K256" s="39"/>
      <c r="L256" s="39"/>
      <c r="M256" s="69">
        <f>+J248</f>
        <v>5</v>
      </c>
      <c r="N256" s="69"/>
      <c r="O256" s="36" t="s">
        <v>45</v>
      </c>
      <c r="P256" s="36">
        <v>2</v>
      </c>
      <c r="Q256" s="36" t="s">
        <v>7</v>
      </c>
      <c r="R256" s="62">
        <f>M256/P256</f>
        <v>2.5</v>
      </c>
      <c r="S256" s="62"/>
      <c r="T256" s="29" t="s">
        <v>15</v>
      </c>
      <c r="X256" s="29"/>
      <c r="Y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T256" s="23"/>
      <c r="BT256" s="29"/>
    </row>
    <row r="257" spans="1:72" ht="11.25">
      <c r="A257" s="29"/>
      <c r="B257" s="34"/>
      <c r="C257" s="29"/>
      <c r="D257" s="29" t="s">
        <v>111</v>
      </c>
      <c r="K257" s="36"/>
      <c r="L257" s="36"/>
      <c r="N257" s="27">
        <v>5</v>
      </c>
      <c r="O257" s="36" t="s">
        <v>4</v>
      </c>
      <c r="P257" s="62">
        <f>+K243/100</f>
        <v>0.0256</v>
      </c>
      <c r="Q257" s="62"/>
      <c r="R257" s="39" t="s">
        <v>4</v>
      </c>
      <c r="S257" s="63">
        <f>+J248*100</f>
        <v>500</v>
      </c>
      <c r="T257" s="63"/>
      <c r="U257" s="48" t="s">
        <v>95</v>
      </c>
      <c r="V257" s="62">
        <v>384</v>
      </c>
      <c r="W257" s="62"/>
      <c r="X257" s="36" t="s">
        <v>4</v>
      </c>
      <c r="Y257" s="62">
        <f>+X244</f>
        <v>21000</v>
      </c>
      <c r="Z257" s="62"/>
      <c r="AA257" s="36" t="s">
        <v>4</v>
      </c>
      <c r="AB257" s="63">
        <f>+X245</f>
        <v>5645</v>
      </c>
      <c r="AC257" s="63"/>
      <c r="AD257" s="29" t="s">
        <v>31</v>
      </c>
      <c r="AE257" s="63">
        <f>N257*P257*S257^4/(V257*Y257*AB257)</f>
        <v>0.17574198265075147</v>
      </c>
      <c r="AF257" s="63"/>
      <c r="AG257" s="63"/>
      <c r="AH257" s="29" t="s">
        <v>51</v>
      </c>
      <c r="AJ257" s="29"/>
      <c r="AT257" s="23"/>
      <c r="BT257" s="29"/>
    </row>
    <row r="258" spans="1:72" ht="11.25">
      <c r="A258" s="29"/>
      <c r="B258" s="34"/>
      <c r="C258" s="29"/>
      <c r="D258" s="29" t="s">
        <v>104</v>
      </c>
      <c r="E258" s="29"/>
      <c r="F258" s="39"/>
      <c r="G258" s="39"/>
      <c r="H258" s="39"/>
      <c r="I258" s="39"/>
      <c r="J258" s="39"/>
      <c r="K258" s="39"/>
      <c r="L258" s="69">
        <f>+J248</f>
        <v>5</v>
      </c>
      <c r="M258" s="69"/>
      <c r="N258" s="36" t="s">
        <v>45</v>
      </c>
      <c r="O258" s="36">
        <v>2</v>
      </c>
      <c r="P258" s="36" t="s">
        <v>7</v>
      </c>
      <c r="Q258" s="62">
        <f>L258/O258</f>
        <v>2.5</v>
      </c>
      <c r="R258" s="62"/>
      <c r="S258" s="29" t="s">
        <v>15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T258" s="23"/>
      <c r="BT258" s="29"/>
    </row>
    <row r="259" spans="1:72" ht="12" thickBot="1">
      <c r="A259" s="29"/>
      <c r="B259" s="44"/>
      <c r="C259" s="45"/>
      <c r="D259" s="45"/>
      <c r="E259" s="45"/>
      <c r="F259" s="45"/>
      <c r="G259" s="45"/>
      <c r="H259" s="45"/>
      <c r="I259" s="45"/>
      <c r="J259" s="43"/>
      <c r="K259" s="43"/>
      <c r="L259" s="43"/>
      <c r="M259" s="43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3"/>
      <c r="AL259" s="43"/>
      <c r="AM259" s="43"/>
      <c r="AN259" s="43"/>
      <c r="AO259" s="43"/>
      <c r="AP259" s="43"/>
      <c r="AQ259" s="43"/>
      <c r="AR259" s="43"/>
      <c r="AS259" s="43"/>
      <c r="AT259" s="49"/>
      <c r="BT259" s="29"/>
    </row>
    <row r="260" spans="1:72" ht="12" thickTop="1">
      <c r="A260" s="29"/>
      <c r="B260" s="30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29"/>
      <c r="AJ260" s="31"/>
      <c r="AK260" s="32"/>
      <c r="AL260" s="32"/>
      <c r="AM260" s="32"/>
      <c r="AT260" s="23"/>
      <c r="BT260" s="29"/>
    </row>
    <row r="261" spans="1:72" ht="11.25">
      <c r="A261" s="29"/>
      <c r="B261" s="34"/>
      <c r="C261" s="29"/>
      <c r="D261" s="29"/>
      <c r="E261" s="29"/>
      <c r="F261" s="29"/>
      <c r="G261" s="29"/>
      <c r="H261" s="29"/>
      <c r="I261" s="29"/>
      <c r="J261" s="27" t="s">
        <v>24</v>
      </c>
      <c r="K261" s="65">
        <v>2.56</v>
      </c>
      <c r="L261" s="65"/>
      <c r="M261" s="27" t="s">
        <v>69</v>
      </c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T261" s="23"/>
      <c r="BT261" s="29"/>
    </row>
    <row r="262" spans="1:72" ht="11.25">
      <c r="A262" s="29"/>
      <c r="B262" s="34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AE262" s="29"/>
      <c r="AF262" s="29"/>
      <c r="AG262" s="29"/>
      <c r="AH262" s="29"/>
      <c r="AI262" s="29"/>
      <c r="AJ262" s="29"/>
      <c r="AT262" s="23"/>
      <c r="BT262" s="29"/>
    </row>
    <row r="263" spans="1:72" ht="11.25">
      <c r="A263" s="29"/>
      <c r="B263" s="34"/>
      <c r="C263" s="29"/>
      <c r="D263" s="29"/>
      <c r="E263" s="29"/>
      <c r="R263" s="29"/>
      <c r="S263" s="29"/>
      <c r="T263" s="29"/>
      <c r="U263" s="29"/>
      <c r="V263" s="29"/>
      <c r="AE263" s="29"/>
      <c r="AF263" s="29"/>
      <c r="AG263" s="29"/>
      <c r="AH263" s="29"/>
      <c r="AI263" s="29"/>
      <c r="AJ263" s="29"/>
      <c r="AT263" s="23"/>
      <c r="BT263" s="29"/>
    </row>
    <row r="264" spans="1:72" ht="11.25">
      <c r="A264" s="29"/>
      <c r="B264" s="34"/>
      <c r="C264" s="29"/>
      <c r="D264" s="29"/>
      <c r="E264" s="29"/>
      <c r="R264" s="29"/>
      <c r="S264" s="29"/>
      <c r="T264" s="29"/>
      <c r="U264" s="29"/>
      <c r="V264" s="29"/>
      <c r="Y264" s="29"/>
      <c r="Z264" s="61" t="s">
        <v>251</v>
      </c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T264" s="23"/>
      <c r="BT264" s="29"/>
    </row>
    <row r="265" spans="1:72" ht="12" thickBot="1">
      <c r="A265" s="29"/>
      <c r="B265" s="34"/>
      <c r="C265" s="29"/>
      <c r="D265" s="29"/>
      <c r="E265" s="29" t="s">
        <v>41</v>
      </c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27" t="s">
        <v>42</v>
      </c>
      <c r="R265" s="29"/>
      <c r="S265" s="29"/>
      <c r="T265" s="29"/>
      <c r="U265" s="29"/>
      <c r="V265" s="29"/>
      <c r="W265" s="29"/>
      <c r="X265" s="29"/>
      <c r="Y265" s="29" t="s">
        <v>49</v>
      </c>
      <c r="Z265" s="65">
        <v>21000</v>
      </c>
      <c r="AA265" s="65"/>
      <c r="AB265" s="29" t="s">
        <v>53</v>
      </c>
      <c r="AD265" s="29"/>
      <c r="AE265" s="29"/>
      <c r="AF265" s="29"/>
      <c r="AG265" s="29"/>
      <c r="AH265" s="29"/>
      <c r="AI265" s="29"/>
      <c r="AJ265" s="29"/>
      <c r="AT265" s="23"/>
      <c r="BT265" s="29"/>
    </row>
    <row r="266" spans="1:72" ht="12.75" thickBot="1" thickTop="1">
      <c r="A266" s="29"/>
      <c r="B266" s="34"/>
      <c r="C266" s="29"/>
      <c r="D266" s="29"/>
      <c r="E266" s="29"/>
      <c r="F266" s="36"/>
      <c r="R266" s="29"/>
      <c r="S266" s="29"/>
      <c r="T266" s="29"/>
      <c r="U266" s="29"/>
      <c r="V266" s="29"/>
      <c r="W266" s="29"/>
      <c r="X266" s="29"/>
      <c r="Y266" s="29" t="s">
        <v>50</v>
      </c>
      <c r="Z266" s="65">
        <v>5645</v>
      </c>
      <c r="AA266" s="65"/>
      <c r="AB266" s="29" t="s">
        <v>54</v>
      </c>
      <c r="AD266" s="29"/>
      <c r="AE266" s="29"/>
      <c r="AF266" s="29"/>
      <c r="AG266" s="29"/>
      <c r="AH266" s="29"/>
      <c r="AI266" s="29"/>
      <c r="AJ266" s="29"/>
      <c r="AT266" s="23"/>
      <c r="BT266" s="29"/>
    </row>
    <row r="267" spans="1:72" ht="12" thickTop="1">
      <c r="A267" s="29"/>
      <c r="B267" s="34"/>
      <c r="C267" s="29"/>
      <c r="D267" s="29"/>
      <c r="E267" s="37"/>
      <c r="F267" s="37"/>
      <c r="G267" s="29"/>
      <c r="H267" s="29"/>
      <c r="I267" s="29"/>
      <c r="J267" s="29"/>
      <c r="N267" s="29"/>
      <c r="O267" s="37"/>
      <c r="P267" s="37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F267" s="29"/>
      <c r="AG267" s="29"/>
      <c r="AH267" s="29"/>
      <c r="AI267" s="29"/>
      <c r="AJ267" s="29"/>
      <c r="AT267" s="23"/>
      <c r="BT267" s="29"/>
    </row>
    <row r="268" spans="1:72" ht="11.25">
      <c r="A268" s="29"/>
      <c r="B268" s="34"/>
      <c r="C268" s="29"/>
      <c r="D268" s="29"/>
      <c r="E268" s="29"/>
      <c r="F268" s="29"/>
      <c r="G268" s="29"/>
      <c r="H268" s="29"/>
      <c r="I268" s="29"/>
      <c r="J268" s="29"/>
      <c r="N268" s="29"/>
      <c r="Q268" s="29"/>
      <c r="R268" s="29"/>
      <c r="S268" s="29"/>
      <c r="T268" s="29"/>
      <c r="U268" s="29"/>
      <c r="AD268" s="29"/>
      <c r="AE268" s="29"/>
      <c r="AF268" s="29"/>
      <c r="AG268" s="29"/>
      <c r="AH268" s="29"/>
      <c r="AI268" s="29"/>
      <c r="AJ268" s="29"/>
      <c r="AT268" s="23"/>
      <c r="BT268" s="29"/>
    </row>
    <row r="269" spans="1:72" ht="11.25">
      <c r="A269" s="29"/>
      <c r="B269" s="34"/>
      <c r="C269" s="29"/>
      <c r="D269" s="29"/>
      <c r="E269" s="29"/>
      <c r="F269" s="29"/>
      <c r="G269" s="29"/>
      <c r="H269" s="29"/>
      <c r="I269" s="29" t="s">
        <v>25</v>
      </c>
      <c r="J269" s="65">
        <v>7.7</v>
      </c>
      <c r="K269" s="65"/>
      <c r="L269" s="27" t="s">
        <v>15</v>
      </c>
      <c r="M269" s="29"/>
      <c r="N269" s="29"/>
      <c r="O269" s="29"/>
      <c r="P269" s="29"/>
      <c r="Q269" s="29"/>
      <c r="R269" s="29"/>
      <c r="S269" s="29"/>
      <c r="T269" s="29"/>
      <c r="U269" s="29"/>
      <c r="AD269" s="29"/>
      <c r="AE269" s="29"/>
      <c r="AF269" s="29"/>
      <c r="AG269" s="29"/>
      <c r="AH269" s="29"/>
      <c r="AI269" s="29"/>
      <c r="AJ269" s="29"/>
      <c r="AT269" s="23"/>
      <c r="BT269" s="29"/>
    </row>
    <row r="270" spans="1:72" ht="11.25">
      <c r="A270" s="29"/>
      <c r="B270" s="34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AD270" s="29"/>
      <c r="AE270" s="38" t="s">
        <v>197</v>
      </c>
      <c r="AF270" s="29"/>
      <c r="AG270" s="29"/>
      <c r="AH270" s="29"/>
      <c r="AI270" s="29"/>
      <c r="AJ270" s="29"/>
      <c r="AT270" s="23"/>
      <c r="BT270" s="29"/>
    </row>
    <row r="271" spans="1:72" ht="11.25">
      <c r="A271" s="29"/>
      <c r="B271" s="34"/>
      <c r="C271" s="29"/>
      <c r="D271" s="29"/>
      <c r="E271" s="29" t="s">
        <v>35</v>
      </c>
      <c r="F271" s="29"/>
      <c r="G271" s="29"/>
      <c r="H271" s="29"/>
      <c r="I271" s="29"/>
      <c r="J271" s="29"/>
      <c r="K271" s="29"/>
      <c r="L271" s="29"/>
      <c r="M271" s="29"/>
      <c r="N271" s="29"/>
      <c r="O271" s="29" t="s">
        <v>36</v>
      </c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T271" s="23"/>
      <c r="BT271" s="29"/>
    </row>
    <row r="272" spans="1:72" ht="11.25">
      <c r="A272" s="29"/>
      <c r="B272" s="34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T272" s="23"/>
      <c r="BT272" s="29"/>
    </row>
    <row r="273" spans="1:72" ht="11.25">
      <c r="A273" s="29"/>
      <c r="B273" s="34"/>
      <c r="C273" s="29"/>
      <c r="D273" s="29"/>
      <c r="E273" s="29"/>
      <c r="F273" s="29"/>
      <c r="G273" s="29" t="s">
        <v>43</v>
      </c>
      <c r="H273" s="29"/>
      <c r="I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T273" s="23"/>
      <c r="BT273" s="29"/>
    </row>
    <row r="274" spans="1:72" ht="11.25">
      <c r="A274" s="29"/>
      <c r="B274" s="34"/>
      <c r="C274" s="29"/>
      <c r="D274" s="29"/>
      <c r="E274" s="29"/>
      <c r="F274" s="29"/>
      <c r="G274" s="29"/>
      <c r="H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T274" s="23"/>
      <c r="BT274" s="29"/>
    </row>
    <row r="275" spans="1:72" ht="11.25">
      <c r="A275" s="29"/>
      <c r="B275" s="34"/>
      <c r="C275" s="29"/>
      <c r="D275" s="29" t="s">
        <v>202</v>
      </c>
      <c r="E275" s="29"/>
      <c r="F275" s="39"/>
      <c r="G275" s="39"/>
      <c r="H275" s="63">
        <f>+K261</f>
        <v>2.56</v>
      </c>
      <c r="I275" s="63"/>
      <c r="J275" s="39" t="s">
        <v>4</v>
      </c>
      <c r="K275" s="69">
        <f>+J269</f>
        <v>7.7</v>
      </c>
      <c r="L275" s="69"/>
      <c r="M275" s="29" t="s">
        <v>6</v>
      </c>
      <c r="N275" s="36">
        <v>6</v>
      </c>
      <c r="O275" s="36" t="s">
        <v>7</v>
      </c>
      <c r="P275" s="62">
        <f>H275*K275/N275</f>
        <v>3.2853333333333334</v>
      </c>
      <c r="Q275" s="62"/>
      <c r="R275" s="29" t="s">
        <v>55</v>
      </c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T275" s="23"/>
      <c r="BT275" s="29"/>
    </row>
    <row r="276" spans="1:72" ht="11.25">
      <c r="A276" s="29"/>
      <c r="B276" s="34"/>
      <c r="C276" s="29"/>
      <c r="D276" s="29" t="s">
        <v>203</v>
      </c>
      <c r="E276" s="29"/>
      <c r="F276" s="39"/>
      <c r="G276" s="39"/>
      <c r="H276" s="63">
        <f>+K261</f>
        <v>2.56</v>
      </c>
      <c r="I276" s="63"/>
      <c r="J276" s="39" t="s">
        <v>4</v>
      </c>
      <c r="K276" s="69">
        <f>+J269</f>
        <v>7.7</v>
      </c>
      <c r="L276" s="69"/>
      <c r="M276" s="29" t="s">
        <v>6</v>
      </c>
      <c r="N276" s="36">
        <v>3</v>
      </c>
      <c r="O276" s="36" t="s">
        <v>7</v>
      </c>
      <c r="P276" s="62">
        <f>H276*K276/N276</f>
        <v>6.570666666666667</v>
      </c>
      <c r="Q276" s="62"/>
      <c r="R276" s="29" t="s">
        <v>55</v>
      </c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T276" s="23"/>
      <c r="BT276" s="29"/>
    </row>
    <row r="277" spans="1:72" ht="11.25">
      <c r="A277" s="29"/>
      <c r="B277" s="34"/>
      <c r="C277" s="29"/>
      <c r="D277" s="29" t="s">
        <v>209</v>
      </c>
      <c r="E277" s="29"/>
      <c r="F277" s="29"/>
      <c r="G277" s="29"/>
      <c r="H277" s="29"/>
      <c r="I277" s="29"/>
      <c r="K277" s="62">
        <v>0.06415</v>
      </c>
      <c r="L277" s="62"/>
      <c r="M277" s="62"/>
      <c r="N277" s="36" t="s">
        <v>4</v>
      </c>
      <c r="O277" s="63">
        <f>+K261</f>
        <v>2.56</v>
      </c>
      <c r="P277" s="63"/>
      <c r="Q277" s="39" t="s">
        <v>4</v>
      </c>
      <c r="R277" s="63">
        <f>+J269</f>
        <v>7.7</v>
      </c>
      <c r="S277" s="63"/>
      <c r="T277" s="29" t="s">
        <v>204</v>
      </c>
      <c r="U277" s="63">
        <f>+K277*O277*R277^2</f>
        <v>9.736840960000002</v>
      </c>
      <c r="V277" s="63"/>
      <c r="W277" s="29" t="s">
        <v>58</v>
      </c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T277" s="23"/>
      <c r="BT277" s="29"/>
    </row>
    <row r="278" spans="1:72" ht="11.25">
      <c r="A278" s="29"/>
      <c r="B278" s="34"/>
      <c r="C278" s="29"/>
      <c r="D278" s="29" t="s">
        <v>205</v>
      </c>
      <c r="E278" s="29"/>
      <c r="F278" s="29"/>
      <c r="G278" s="29"/>
      <c r="H278" s="29"/>
      <c r="I278" s="29"/>
      <c r="M278" s="62">
        <f>+J269</f>
        <v>7.7</v>
      </c>
      <c r="N278" s="62"/>
      <c r="O278" s="29" t="s">
        <v>206</v>
      </c>
      <c r="P278" s="29">
        <v>3</v>
      </c>
      <c r="Q278" s="29" t="s">
        <v>7</v>
      </c>
      <c r="R278" s="63">
        <f>+M278/SQRT(P278)</f>
        <v>4.445597072760119</v>
      </c>
      <c r="S278" s="63"/>
      <c r="T278" s="29" t="s">
        <v>15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T278" s="23"/>
      <c r="BT278" s="29"/>
    </row>
    <row r="279" spans="1:72" ht="11.25">
      <c r="A279" s="29"/>
      <c r="B279" s="34"/>
      <c r="C279" s="29"/>
      <c r="D279" s="29" t="s">
        <v>207</v>
      </c>
      <c r="E279" s="29"/>
      <c r="F279" s="29"/>
      <c r="G279" s="29"/>
      <c r="H279" s="29"/>
      <c r="I279" s="29"/>
      <c r="N279" s="63">
        <f>+K261/100</f>
        <v>0.0256</v>
      </c>
      <c r="O279" s="63"/>
      <c r="P279" s="39" t="s">
        <v>4</v>
      </c>
      <c r="Q279" s="63">
        <f>+J269*100</f>
        <v>770</v>
      </c>
      <c r="R279" s="63"/>
      <c r="S279" s="50" t="s">
        <v>47</v>
      </c>
      <c r="T279" s="63">
        <v>153.3</v>
      </c>
      <c r="U279" s="63"/>
      <c r="V279" s="39" t="s">
        <v>4</v>
      </c>
      <c r="W279" s="63">
        <f>+Z265</f>
        <v>21000</v>
      </c>
      <c r="X279" s="63"/>
      <c r="Y279" s="39" t="s">
        <v>4</v>
      </c>
      <c r="Z279" s="63">
        <f>+Z266</f>
        <v>5645</v>
      </c>
      <c r="AA279" s="63"/>
      <c r="AB279" s="29" t="s">
        <v>31</v>
      </c>
      <c r="AC279" s="63">
        <f>N279*Q279^4/(T279*W279*Z279)</f>
        <v>0.495196390173009</v>
      </c>
      <c r="AD279" s="63"/>
      <c r="AE279" s="63"/>
      <c r="AF279" s="29" t="s">
        <v>51</v>
      </c>
      <c r="AG279" s="29"/>
      <c r="AH279" s="29"/>
      <c r="AI279" s="29"/>
      <c r="AJ279" s="29"/>
      <c r="AT279" s="23"/>
      <c r="BT279" s="29"/>
    </row>
    <row r="280" spans="1:72" ht="11.25">
      <c r="A280" s="29"/>
      <c r="B280" s="34"/>
      <c r="C280" s="29"/>
      <c r="D280" s="29" t="s">
        <v>208</v>
      </c>
      <c r="E280" s="29"/>
      <c r="F280" s="29"/>
      <c r="G280" s="29"/>
      <c r="H280" s="29"/>
      <c r="I280" s="29"/>
      <c r="N280" s="71">
        <v>0.5193296</v>
      </c>
      <c r="O280" s="71"/>
      <c r="P280" s="71"/>
      <c r="Q280" s="71"/>
      <c r="R280" s="39" t="s">
        <v>4</v>
      </c>
      <c r="S280" s="63">
        <f>+J269</f>
        <v>7.7</v>
      </c>
      <c r="T280" s="63"/>
      <c r="U280" s="29" t="s">
        <v>7</v>
      </c>
      <c r="V280" s="63">
        <f>+N280*S280</f>
        <v>3.9988379199999997</v>
      </c>
      <c r="W280" s="63"/>
      <c r="X280" s="29" t="s">
        <v>15</v>
      </c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T280" s="23"/>
      <c r="BT280" s="29"/>
    </row>
    <row r="281" spans="1:72" ht="12" thickBot="1">
      <c r="A281" s="29"/>
      <c r="B281" s="44"/>
      <c r="C281" s="45"/>
      <c r="D281" s="45"/>
      <c r="E281" s="45"/>
      <c r="F281" s="45"/>
      <c r="G281" s="45"/>
      <c r="H281" s="45"/>
      <c r="I281" s="45"/>
      <c r="J281" s="43"/>
      <c r="K281" s="43"/>
      <c r="L281" s="43"/>
      <c r="M281" s="43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3"/>
      <c r="AL281" s="43"/>
      <c r="AM281" s="43"/>
      <c r="AN281" s="43"/>
      <c r="AO281" s="43"/>
      <c r="AP281" s="43"/>
      <c r="AQ281" s="43"/>
      <c r="AR281" s="43"/>
      <c r="AS281" s="43"/>
      <c r="AT281" s="49"/>
      <c r="BT281" s="29"/>
    </row>
    <row r="282" spans="1:72" ht="12" thickTop="1">
      <c r="A282" s="29"/>
      <c r="B282" s="34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E282" s="29"/>
      <c r="AF282" s="29"/>
      <c r="AG282" s="29"/>
      <c r="AH282" s="29"/>
      <c r="AI282" s="29"/>
      <c r="AJ282" s="29"/>
      <c r="AT282" s="23"/>
      <c r="BT282" s="29"/>
    </row>
    <row r="283" spans="1:72" ht="11.25">
      <c r="A283" s="29"/>
      <c r="B283" s="34"/>
      <c r="C283" s="29"/>
      <c r="D283" s="29"/>
      <c r="E283" s="29"/>
      <c r="F283" s="29"/>
      <c r="G283" s="29"/>
      <c r="H283" s="29"/>
      <c r="I283" s="29"/>
      <c r="J283" s="27" t="s">
        <v>24</v>
      </c>
      <c r="K283" s="65">
        <v>2.56</v>
      </c>
      <c r="L283" s="65"/>
      <c r="M283" s="27" t="s">
        <v>69</v>
      </c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T283" s="23"/>
      <c r="BT283" s="29"/>
    </row>
    <row r="284" spans="1:72" ht="11.25">
      <c r="A284" s="29"/>
      <c r="B284" s="34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T284" s="23"/>
      <c r="BT284" s="29"/>
    </row>
    <row r="285" spans="1:72" ht="11.25">
      <c r="A285" s="29"/>
      <c r="B285" s="34"/>
      <c r="C285" s="29"/>
      <c r="D285" s="29"/>
      <c r="E285" s="29"/>
      <c r="R285" s="29"/>
      <c r="S285" s="29"/>
      <c r="T285" s="29"/>
      <c r="U285" s="29"/>
      <c r="V285" s="29"/>
      <c r="W285" s="29"/>
      <c r="X285" s="61" t="s">
        <v>251</v>
      </c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T285" s="23"/>
      <c r="BT285" s="29"/>
    </row>
    <row r="286" spans="1:72" ht="11.25">
      <c r="A286" s="29"/>
      <c r="B286" s="34"/>
      <c r="C286" s="29"/>
      <c r="D286" s="29"/>
      <c r="E286" s="29"/>
      <c r="R286" s="29"/>
      <c r="S286" s="29"/>
      <c r="T286" s="29"/>
      <c r="U286" s="29"/>
      <c r="V286" s="29"/>
      <c r="W286" s="29" t="s">
        <v>49</v>
      </c>
      <c r="X286" s="65">
        <v>21000</v>
      </c>
      <c r="Y286" s="65"/>
      <c r="Z286" s="29" t="s">
        <v>53</v>
      </c>
      <c r="AB286" s="29"/>
      <c r="AC286" s="29"/>
      <c r="AD286" s="29"/>
      <c r="AE286" s="29"/>
      <c r="AF286" s="29"/>
      <c r="AG286" s="29"/>
      <c r="AH286" s="29"/>
      <c r="AI286" s="29"/>
      <c r="AJ286" s="29"/>
      <c r="AT286" s="23"/>
      <c r="BT286" s="29"/>
    </row>
    <row r="287" spans="1:72" ht="12" thickBot="1">
      <c r="A287" s="29"/>
      <c r="B287" s="34"/>
      <c r="C287" s="29"/>
      <c r="D287" s="29"/>
      <c r="E287" s="29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27" t="s">
        <v>42</v>
      </c>
      <c r="R287" s="29"/>
      <c r="S287" s="29"/>
      <c r="T287" s="29"/>
      <c r="U287" s="29"/>
      <c r="V287" s="29"/>
      <c r="W287" s="29" t="s">
        <v>50</v>
      </c>
      <c r="X287" s="65">
        <v>5645</v>
      </c>
      <c r="Y287" s="65"/>
      <c r="Z287" s="29" t="s">
        <v>54</v>
      </c>
      <c r="AB287" s="29"/>
      <c r="AC287" s="29"/>
      <c r="AD287" s="29"/>
      <c r="AE287" s="29"/>
      <c r="AF287" s="29"/>
      <c r="AG287" s="29"/>
      <c r="AH287" s="29"/>
      <c r="AI287" s="29"/>
      <c r="AJ287" s="29"/>
      <c r="AT287" s="23"/>
      <c r="BT287" s="29"/>
    </row>
    <row r="288" spans="1:72" ht="12.75" thickBot="1" thickTop="1">
      <c r="A288" s="29"/>
      <c r="B288" s="34"/>
      <c r="C288" s="29"/>
      <c r="D288" s="29"/>
      <c r="E288" s="29" t="s">
        <v>41</v>
      </c>
      <c r="F288" s="36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T288" s="23"/>
      <c r="BT288" s="29"/>
    </row>
    <row r="289" spans="1:72" ht="12" thickTop="1">
      <c r="A289" s="29"/>
      <c r="B289" s="34"/>
      <c r="C289" s="29"/>
      <c r="D289" s="29"/>
      <c r="E289" s="37"/>
      <c r="F289" s="37"/>
      <c r="I289" s="29"/>
      <c r="J289" s="29"/>
      <c r="N289" s="29"/>
      <c r="O289" s="37"/>
      <c r="P289" s="37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T289" s="23"/>
      <c r="BT289" s="29"/>
    </row>
    <row r="290" spans="1:72" ht="11.25">
      <c r="A290" s="29"/>
      <c r="B290" s="34"/>
      <c r="C290" s="29"/>
      <c r="D290" s="29"/>
      <c r="E290" s="29"/>
      <c r="G290" s="63">
        <f>+J292/2</f>
        <v>3.85</v>
      </c>
      <c r="H290" s="63"/>
      <c r="I290" s="27" t="s">
        <v>15</v>
      </c>
      <c r="J290" s="63"/>
      <c r="K290" s="63"/>
      <c r="L290" s="63">
        <f>+G290</f>
        <v>3.85</v>
      </c>
      <c r="M290" s="63"/>
      <c r="N290" s="27" t="s">
        <v>15</v>
      </c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T290" s="23"/>
      <c r="BT290" s="29"/>
    </row>
    <row r="291" spans="1:72" ht="11.25">
      <c r="A291" s="29"/>
      <c r="B291" s="34"/>
      <c r="C291" s="29"/>
      <c r="D291" s="29"/>
      <c r="E291" s="29"/>
      <c r="F291" s="29"/>
      <c r="G291" s="29"/>
      <c r="H291" s="29"/>
      <c r="I291" s="29"/>
      <c r="J291" s="29"/>
      <c r="N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38" t="s">
        <v>197</v>
      </c>
      <c r="AE291" s="29"/>
      <c r="AF291" s="29"/>
      <c r="AG291" s="29"/>
      <c r="AH291" s="29"/>
      <c r="AI291" s="29"/>
      <c r="AJ291" s="29"/>
      <c r="AT291" s="23"/>
      <c r="BT291" s="29"/>
    </row>
    <row r="292" spans="1:72" ht="11.25">
      <c r="A292" s="29"/>
      <c r="B292" s="34"/>
      <c r="C292" s="29"/>
      <c r="D292" s="29"/>
      <c r="E292" s="29"/>
      <c r="F292" s="29"/>
      <c r="G292" s="29"/>
      <c r="H292" s="29"/>
      <c r="I292" s="29" t="s">
        <v>25</v>
      </c>
      <c r="J292" s="65">
        <v>7.7</v>
      </c>
      <c r="K292" s="65"/>
      <c r="L292" s="27" t="s">
        <v>15</v>
      </c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T292" s="23"/>
      <c r="BT292" s="29"/>
    </row>
    <row r="293" spans="1:72" ht="11.25">
      <c r="A293" s="29"/>
      <c r="B293" s="34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T293" s="23"/>
      <c r="BT293" s="29"/>
    </row>
    <row r="294" spans="1:72" ht="11.25">
      <c r="A294" s="29"/>
      <c r="B294" s="34"/>
      <c r="C294" s="29"/>
      <c r="D294" s="29"/>
      <c r="E294" s="29" t="s">
        <v>35</v>
      </c>
      <c r="F294" s="29"/>
      <c r="G294" s="29"/>
      <c r="H294" s="29"/>
      <c r="I294" s="29"/>
      <c r="J294" s="29"/>
      <c r="K294" s="29"/>
      <c r="L294" s="29"/>
      <c r="M294" s="29"/>
      <c r="N294" s="29"/>
      <c r="O294" s="29" t="s">
        <v>36</v>
      </c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T294" s="23"/>
      <c r="BT294" s="29"/>
    </row>
    <row r="295" spans="1:72" ht="11.25">
      <c r="A295" s="29"/>
      <c r="B295" s="34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T295" s="23"/>
      <c r="BT295" s="29"/>
    </row>
    <row r="296" spans="1:72" ht="11.25">
      <c r="A296" s="29"/>
      <c r="B296" s="34"/>
      <c r="C296" s="29"/>
      <c r="D296" s="29"/>
      <c r="E296" s="29"/>
      <c r="F296" s="29"/>
      <c r="G296" s="29" t="s">
        <v>43</v>
      </c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T296" s="23"/>
      <c r="BT296" s="29"/>
    </row>
    <row r="297" spans="1:72" ht="11.25">
      <c r="A297" s="29"/>
      <c r="B297" s="34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T297" s="23"/>
      <c r="BT297" s="29"/>
    </row>
    <row r="298" spans="1:72" ht="11.25">
      <c r="A298" s="29"/>
      <c r="B298" s="34"/>
      <c r="C298" s="29"/>
      <c r="D298" s="29" t="s">
        <v>112</v>
      </c>
      <c r="E298" s="29"/>
      <c r="F298" s="39"/>
      <c r="G298" s="39"/>
      <c r="I298" s="63">
        <f>+K283</f>
        <v>2.56</v>
      </c>
      <c r="J298" s="63"/>
      <c r="K298" s="39" t="s">
        <v>4</v>
      </c>
      <c r="L298" s="69">
        <f>+J292</f>
        <v>7.7</v>
      </c>
      <c r="M298" s="69"/>
      <c r="N298" s="29" t="s">
        <v>6</v>
      </c>
      <c r="O298" s="36">
        <v>4</v>
      </c>
      <c r="P298" s="36" t="s">
        <v>7</v>
      </c>
      <c r="Q298" s="62">
        <f>I298*L298/O298</f>
        <v>4.928</v>
      </c>
      <c r="R298" s="62"/>
      <c r="S298" s="29" t="s">
        <v>55</v>
      </c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T298" s="23"/>
      <c r="BT298" s="29"/>
    </row>
    <row r="299" spans="1:72" ht="11.25">
      <c r="A299" s="29"/>
      <c r="B299" s="34"/>
      <c r="C299" s="29"/>
      <c r="D299" s="29" t="s">
        <v>113</v>
      </c>
      <c r="E299" s="29"/>
      <c r="F299" s="39"/>
      <c r="G299" s="39"/>
      <c r="H299" s="39"/>
      <c r="I299" s="63">
        <f>+K283</f>
        <v>2.56</v>
      </c>
      <c r="J299" s="63"/>
      <c r="K299" s="39" t="s">
        <v>4</v>
      </c>
      <c r="L299" s="69">
        <f>+J292</f>
        <v>7.7</v>
      </c>
      <c r="M299" s="69"/>
      <c r="N299" s="39" t="s">
        <v>23</v>
      </c>
      <c r="O299" s="27">
        <v>12</v>
      </c>
      <c r="P299" s="36" t="s">
        <v>7</v>
      </c>
      <c r="Q299" s="62">
        <f>I299*L299^2/O299</f>
        <v>12.648533333333335</v>
      </c>
      <c r="R299" s="62"/>
      <c r="S299" s="29" t="s">
        <v>58</v>
      </c>
      <c r="T299" s="29"/>
      <c r="U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T299" s="23"/>
      <c r="BT299" s="29"/>
    </row>
    <row r="300" spans="1:72" ht="11.25">
      <c r="A300" s="29"/>
      <c r="B300" s="34"/>
      <c r="C300" s="29"/>
      <c r="D300" s="29" t="s">
        <v>100</v>
      </c>
      <c r="E300" s="29"/>
      <c r="F300" s="39"/>
      <c r="G300" s="39"/>
      <c r="H300" s="39"/>
      <c r="I300" s="39"/>
      <c r="J300" s="39"/>
      <c r="K300" s="39"/>
      <c r="L300" s="39"/>
      <c r="M300" s="69">
        <f>+J292</f>
        <v>7.7</v>
      </c>
      <c r="N300" s="69"/>
      <c r="O300" s="36" t="s">
        <v>45</v>
      </c>
      <c r="P300" s="36">
        <v>2</v>
      </c>
      <c r="Q300" s="36" t="s">
        <v>7</v>
      </c>
      <c r="R300" s="62">
        <f>M300/P300</f>
        <v>3.85</v>
      </c>
      <c r="S300" s="62"/>
      <c r="T300" s="29" t="s">
        <v>15</v>
      </c>
      <c r="X300" s="29"/>
      <c r="Y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T300" s="23"/>
      <c r="BT300" s="29"/>
    </row>
    <row r="301" spans="1:72" ht="11.25">
      <c r="A301" s="29"/>
      <c r="B301" s="34"/>
      <c r="C301" s="29"/>
      <c r="D301" s="29" t="s">
        <v>114</v>
      </c>
      <c r="K301" s="36"/>
      <c r="L301" s="36"/>
      <c r="M301" s="62">
        <f>+K283/100</f>
        <v>0.0256</v>
      </c>
      <c r="N301" s="62"/>
      <c r="O301" s="39" t="s">
        <v>4</v>
      </c>
      <c r="P301" s="63">
        <f>+J292*100</f>
        <v>770</v>
      </c>
      <c r="Q301" s="63"/>
      <c r="R301" s="48" t="s">
        <v>95</v>
      </c>
      <c r="S301" s="62">
        <v>120</v>
      </c>
      <c r="T301" s="62"/>
      <c r="U301" s="36" t="s">
        <v>4</v>
      </c>
      <c r="V301" s="62">
        <f>+X286</f>
        <v>21000</v>
      </c>
      <c r="W301" s="62"/>
      <c r="X301" s="36" t="s">
        <v>4</v>
      </c>
      <c r="Y301" s="63">
        <f>+X287</f>
        <v>5645</v>
      </c>
      <c r="Z301" s="63"/>
      <c r="AA301" s="29" t="s">
        <v>31</v>
      </c>
      <c r="AB301" s="63">
        <f>M301*P301^4/(S301*V301*Y301)</f>
        <v>0.6326133884460191</v>
      </c>
      <c r="AC301" s="63"/>
      <c r="AD301" s="63"/>
      <c r="AE301" s="29" t="s">
        <v>51</v>
      </c>
      <c r="AF301" s="29"/>
      <c r="AG301" s="29"/>
      <c r="AH301" s="29"/>
      <c r="AI301" s="29"/>
      <c r="AJ301" s="29"/>
      <c r="AT301" s="23"/>
      <c r="BT301" s="29"/>
    </row>
    <row r="302" spans="1:72" ht="11.25">
      <c r="A302" s="29"/>
      <c r="B302" s="34"/>
      <c r="C302" s="29"/>
      <c r="D302" s="29" t="s">
        <v>104</v>
      </c>
      <c r="E302" s="29"/>
      <c r="F302" s="39"/>
      <c r="G302" s="39"/>
      <c r="H302" s="39"/>
      <c r="I302" s="39"/>
      <c r="J302" s="39"/>
      <c r="K302" s="39"/>
      <c r="L302" s="69">
        <f>+J292</f>
        <v>7.7</v>
      </c>
      <c r="M302" s="69"/>
      <c r="N302" s="36" t="s">
        <v>45</v>
      </c>
      <c r="O302" s="36">
        <v>2</v>
      </c>
      <c r="P302" s="36" t="s">
        <v>7</v>
      </c>
      <c r="Q302" s="62">
        <f>L302/O302</f>
        <v>3.85</v>
      </c>
      <c r="R302" s="62"/>
      <c r="S302" s="29" t="s">
        <v>15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T302" s="23"/>
      <c r="BT302" s="29"/>
    </row>
    <row r="303" spans="1:72" ht="12" thickBot="1">
      <c r="A303" s="29"/>
      <c r="B303" s="44"/>
      <c r="C303" s="45"/>
      <c r="D303" s="45"/>
      <c r="E303" s="45"/>
      <c r="F303" s="45"/>
      <c r="G303" s="45"/>
      <c r="H303" s="45"/>
      <c r="I303" s="45"/>
      <c r="J303" s="43"/>
      <c r="K303" s="43"/>
      <c r="L303" s="43"/>
      <c r="M303" s="43"/>
      <c r="N303" s="45"/>
      <c r="O303" s="45"/>
      <c r="P303" s="45"/>
      <c r="Q303" s="45"/>
      <c r="R303" s="45"/>
      <c r="S303" s="45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5"/>
      <c r="AF303" s="45"/>
      <c r="AG303" s="45"/>
      <c r="AH303" s="45"/>
      <c r="AI303" s="45"/>
      <c r="AJ303" s="45"/>
      <c r="AK303" s="43"/>
      <c r="AL303" s="43"/>
      <c r="AM303" s="43"/>
      <c r="AT303" s="23"/>
      <c r="BT303" s="29"/>
    </row>
    <row r="304" spans="2:46" ht="12" thickTop="1">
      <c r="B304" s="30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E304" s="31"/>
      <c r="AF304" s="31"/>
      <c r="AG304" s="31"/>
      <c r="AH304" s="31"/>
      <c r="AI304" s="31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3"/>
    </row>
    <row r="305" spans="2:46" ht="11.25">
      <c r="B305" s="34"/>
      <c r="C305" s="29"/>
      <c r="D305" s="29"/>
      <c r="E305" s="29"/>
      <c r="I305" s="27" t="s">
        <v>77</v>
      </c>
      <c r="J305" s="65">
        <v>25</v>
      </c>
      <c r="K305" s="65"/>
      <c r="L305" s="27" t="s">
        <v>55</v>
      </c>
      <c r="R305" s="29"/>
      <c r="S305" s="29"/>
      <c r="T305" s="29"/>
      <c r="U305" s="29"/>
      <c r="V305" s="29"/>
      <c r="W305" s="29"/>
      <c r="X305" s="61" t="s">
        <v>251</v>
      </c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T305" s="23"/>
    </row>
    <row r="306" spans="2:46" ht="11.25">
      <c r="B306" s="34"/>
      <c r="C306" s="29"/>
      <c r="D306" s="29"/>
      <c r="E306" s="29"/>
      <c r="R306" s="29"/>
      <c r="S306" s="29"/>
      <c r="T306" s="29"/>
      <c r="U306" s="29"/>
      <c r="V306" s="29"/>
      <c r="W306" s="29" t="s">
        <v>49</v>
      </c>
      <c r="X306" s="65">
        <v>21000</v>
      </c>
      <c r="Y306" s="65"/>
      <c r="Z306" s="29" t="s">
        <v>53</v>
      </c>
      <c r="AB306" s="29"/>
      <c r="AC306" s="29"/>
      <c r="AD306" s="29"/>
      <c r="AE306" s="29"/>
      <c r="AF306" s="29"/>
      <c r="AG306" s="29"/>
      <c r="AH306" s="29"/>
      <c r="AI306" s="29"/>
      <c r="AT306" s="23"/>
    </row>
    <row r="307" spans="2:46" ht="11.25">
      <c r="B307" s="34"/>
      <c r="C307" s="29"/>
      <c r="D307" s="29"/>
      <c r="E307" s="24"/>
      <c r="P307" s="52"/>
      <c r="R307" s="29"/>
      <c r="S307" s="29"/>
      <c r="T307" s="29"/>
      <c r="U307" s="29"/>
      <c r="V307" s="29"/>
      <c r="W307" s="29" t="s">
        <v>50</v>
      </c>
      <c r="X307" s="65">
        <v>5645</v>
      </c>
      <c r="Y307" s="65"/>
      <c r="Z307" s="29" t="s">
        <v>54</v>
      </c>
      <c r="AB307" s="29"/>
      <c r="AC307" s="29"/>
      <c r="AD307" s="29"/>
      <c r="AE307" s="29"/>
      <c r="AF307" s="29"/>
      <c r="AG307" s="29"/>
      <c r="AH307" s="29"/>
      <c r="AI307" s="29"/>
      <c r="AT307" s="23"/>
    </row>
    <row r="308" spans="2:46" ht="12" thickBot="1">
      <c r="B308" s="34"/>
      <c r="C308" s="29"/>
      <c r="D308" s="29"/>
      <c r="E308" s="24"/>
      <c r="F308" s="44"/>
      <c r="G308" s="45"/>
      <c r="H308" s="45"/>
      <c r="I308" s="45"/>
      <c r="J308" s="45"/>
      <c r="K308" s="45"/>
      <c r="L308" s="45"/>
      <c r="M308" s="45"/>
      <c r="N308" s="45"/>
      <c r="O308" s="53"/>
      <c r="P308" s="52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T308" s="23"/>
    </row>
    <row r="309" spans="2:46" ht="12" thickTop="1">
      <c r="B309" s="34"/>
      <c r="C309" s="29"/>
      <c r="D309" s="29"/>
      <c r="E309" s="24"/>
      <c r="F309" s="36" t="s">
        <v>41</v>
      </c>
      <c r="O309" s="54" t="s">
        <v>42</v>
      </c>
      <c r="P309" s="52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T309" s="23"/>
    </row>
    <row r="310" spans="2:46" ht="11.25">
      <c r="B310" s="34"/>
      <c r="C310" s="29" t="s">
        <v>20</v>
      </c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 t="s">
        <v>21</v>
      </c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T310" s="23"/>
    </row>
    <row r="311" spans="1:72" ht="11.25">
      <c r="A311" s="29"/>
      <c r="B311" s="34"/>
      <c r="C311" s="29"/>
      <c r="D311" s="29"/>
      <c r="E311" s="29"/>
      <c r="G311" s="63">
        <f>+J313/2</f>
        <v>1.75</v>
      </c>
      <c r="H311" s="63"/>
      <c r="I311" s="27" t="s">
        <v>15</v>
      </c>
      <c r="J311" s="29"/>
      <c r="K311" s="29"/>
      <c r="L311" s="63">
        <f>+G311</f>
        <v>1.75</v>
      </c>
      <c r="M311" s="63"/>
      <c r="N311" s="27" t="s">
        <v>15</v>
      </c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T311" s="23"/>
      <c r="BT311" s="29"/>
    </row>
    <row r="312" spans="1:72" ht="11.25">
      <c r="A312" s="29"/>
      <c r="B312" s="34"/>
      <c r="C312" s="29"/>
      <c r="D312" s="29"/>
      <c r="E312" s="29"/>
      <c r="F312" s="29"/>
      <c r="G312" s="29"/>
      <c r="H312" s="29"/>
      <c r="I312" s="29"/>
      <c r="J312" s="29"/>
      <c r="N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38" t="s">
        <v>197</v>
      </c>
      <c r="AE312" s="29"/>
      <c r="AF312" s="29"/>
      <c r="AG312" s="29"/>
      <c r="AH312" s="29"/>
      <c r="AI312" s="29"/>
      <c r="AJ312" s="29"/>
      <c r="AT312" s="23"/>
      <c r="BT312" s="29"/>
    </row>
    <row r="313" spans="2:46" ht="11.25">
      <c r="B313" s="34"/>
      <c r="C313" s="29"/>
      <c r="D313" s="29"/>
      <c r="E313" s="29"/>
      <c r="F313" s="29"/>
      <c r="G313" s="29"/>
      <c r="H313" s="29"/>
      <c r="I313" s="29" t="s">
        <v>25</v>
      </c>
      <c r="J313" s="65">
        <v>3.5</v>
      </c>
      <c r="K313" s="65"/>
      <c r="L313" s="27" t="s">
        <v>15</v>
      </c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T313" s="23"/>
    </row>
    <row r="314" spans="2:46" ht="11.25">
      <c r="B314" s="34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T314" s="23"/>
    </row>
    <row r="315" spans="1:72" ht="11.25">
      <c r="A315" s="29"/>
      <c r="B315" s="34"/>
      <c r="C315" s="29"/>
      <c r="D315" s="29"/>
      <c r="E315" s="29" t="s">
        <v>35</v>
      </c>
      <c r="F315" s="29"/>
      <c r="G315" s="29"/>
      <c r="H315" s="29"/>
      <c r="I315" s="29"/>
      <c r="J315" s="29"/>
      <c r="K315" s="29"/>
      <c r="L315" s="29"/>
      <c r="M315" s="29"/>
      <c r="N315" s="29"/>
      <c r="O315" s="29" t="s">
        <v>36</v>
      </c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T315" s="23"/>
      <c r="BT315" s="29"/>
    </row>
    <row r="316" spans="1:72" ht="11.25">
      <c r="A316" s="29"/>
      <c r="B316" s="34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T316" s="23"/>
      <c r="BT316" s="29"/>
    </row>
    <row r="317" spans="1:72" ht="11.25">
      <c r="A317" s="29"/>
      <c r="B317" s="34"/>
      <c r="C317" s="29"/>
      <c r="D317" s="29"/>
      <c r="E317" s="29"/>
      <c r="F317" s="29"/>
      <c r="G317" s="29" t="s">
        <v>43</v>
      </c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T317" s="23"/>
      <c r="BT317" s="29"/>
    </row>
    <row r="318" spans="1:72" ht="11.25">
      <c r="A318" s="29"/>
      <c r="B318" s="34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T318" s="23"/>
      <c r="BT318" s="29"/>
    </row>
    <row r="319" spans="1:72" ht="11.25">
      <c r="A319" s="29"/>
      <c r="B319" s="34"/>
      <c r="C319" s="29"/>
      <c r="D319" s="29" t="s">
        <v>101</v>
      </c>
      <c r="E319" s="29"/>
      <c r="F319" s="29"/>
      <c r="H319" s="63">
        <f>+J305</f>
        <v>25</v>
      </c>
      <c r="I319" s="63"/>
      <c r="J319" s="27" t="s">
        <v>6</v>
      </c>
      <c r="K319" s="27">
        <v>2</v>
      </c>
      <c r="L319" s="36" t="s">
        <v>7</v>
      </c>
      <c r="M319" s="62">
        <f>H319/K319</f>
        <v>12.5</v>
      </c>
      <c r="N319" s="62"/>
      <c r="O319" s="29" t="s">
        <v>55</v>
      </c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T319" s="23"/>
      <c r="BT319" s="29"/>
    </row>
    <row r="320" spans="1:72" ht="11.25">
      <c r="A320" s="29"/>
      <c r="B320" s="34"/>
      <c r="C320" s="29"/>
      <c r="D320" s="29" t="s">
        <v>115</v>
      </c>
      <c r="E320" s="29"/>
      <c r="F320" s="29"/>
      <c r="G320" s="29"/>
      <c r="J320" s="69">
        <f>+J305</f>
        <v>25</v>
      </c>
      <c r="K320" s="69"/>
      <c r="L320" s="36" t="s">
        <v>4</v>
      </c>
      <c r="M320" s="62">
        <f>+J313</f>
        <v>3.5</v>
      </c>
      <c r="N320" s="62"/>
      <c r="O320" s="36" t="s">
        <v>45</v>
      </c>
      <c r="P320" s="27">
        <v>8</v>
      </c>
      <c r="Q320" s="36" t="s">
        <v>7</v>
      </c>
      <c r="R320" s="63">
        <f>J320*M320/P320</f>
        <v>10.9375</v>
      </c>
      <c r="S320" s="63"/>
      <c r="T320" s="29" t="s">
        <v>57</v>
      </c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T320" s="23"/>
      <c r="BT320" s="29"/>
    </row>
    <row r="321" spans="1:72" ht="11.25">
      <c r="A321" s="29"/>
      <c r="B321" s="34"/>
      <c r="C321" s="29"/>
      <c r="D321" s="29" t="s">
        <v>116</v>
      </c>
      <c r="E321" s="29"/>
      <c r="F321" s="39"/>
      <c r="G321" s="39"/>
      <c r="H321" s="39"/>
      <c r="I321" s="63">
        <f>+J305</f>
        <v>25</v>
      </c>
      <c r="J321" s="63"/>
      <c r="K321" s="39" t="s">
        <v>4</v>
      </c>
      <c r="L321" s="69">
        <f>+J313</f>
        <v>3.5</v>
      </c>
      <c r="M321" s="69"/>
      <c r="N321" s="39" t="s">
        <v>45</v>
      </c>
      <c r="O321" s="27">
        <v>8</v>
      </c>
      <c r="P321" s="36" t="s">
        <v>7</v>
      </c>
      <c r="Q321" s="62">
        <f>I321*L321/O321</f>
        <v>10.9375</v>
      </c>
      <c r="R321" s="62"/>
      <c r="S321" s="29" t="s">
        <v>58</v>
      </c>
      <c r="T321" s="29"/>
      <c r="U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T321" s="23"/>
      <c r="BT321" s="29"/>
    </row>
    <row r="322" spans="1:72" ht="11.25">
      <c r="A322" s="29"/>
      <c r="B322" s="34"/>
      <c r="C322" s="29"/>
      <c r="D322" s="29" t="s">
        <v>100</v>
      </c>
      <c r="E322" s="29"/>
      <c r="F322" s="39"/>
      <c r="G322" s="39"/>
      <c r="H322" s="39"/>
      <c r="I322" s="39"/>
      <c r="J322" s="39"/>
      <c r="K322" s="39"/>
      <c r="L322" s="39"/>
      <c r="M322" s="69">
        <f>+J313</f>
        <v>3.5</v>
      </c>
      <c r="N322" s="69"/>
      <c r="O322" s="36" t="s">
        <v>45</v>
      </c>
      <c r="P322" s="36">
        <v>2</v>
      </c>
      <c r="Q322" s="36" t="s">
        <v>7</v>
      </c>
      <c r="R322" s="62">
        <f>M322/P322</f>
        <v>1.75</v>
      </c>
      <c r="S322" s="62"/>
      <c r="T322" s="29" t="s">
        <v>15</v>
      </c>
      <c r="X322" s="29"/>
      <c r="Y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T322" s="23"/>
      <c r="BT322" s="29"/>
    </row>
    <row r="323" spans="1:72" ht="11.25">
      <c r="A323" s="29"/>
      <c r="B323" s="34"/>
      <c r="C323" s="29"/>
      <c r="D323" s="29" t="s">
        <v>117</v>
      </c>
      <c r="K323" s="36"/>
      <c r="L323" s="36"/>
      <c r="M323" s="62">
        <f>+J305</f>
        <v>25</v>
      </c>
      <c r="N323" s="62"/>
      <c r="O323" s="39" t="s">
        <v>4</v>
      </c>
      <c r="P323" s="63">
        <f>+J313*100</f>
        <v>350</v>
      </c>
      <c r="Q323" s="63"/>
      <c r="R323" s="48" t="s">
        <v>103</v>
      </c>
      <c r="S323" s="62">
        <v>192</v>
      </c>
      <c r="T323" s="62"/>
      <c r="U323" s="36" t="s">
        <v>4</v>
      </c>
      <c r="V323" s="62">
        <f>+X306</f>
        <v>21000</v>
      </c>
      <c r="W323" s="62"/>
      <c r="X323" s="36" t="s">
        <v>4</v>
      </c>
      <c r="Y323" s="63">
        <f>+X307</f>
        <v>5645</v>
      </c>
      <c r="Z323" s="63"/>
      <c r="AA323" s="29" t="s">
        <v>31</v>
      </c>
      <c r="AB323" s="63">
        <f>M323*P323^3/(S323*V323*Y323)</f>
        <v>0.04709335941344356</v>
      </c>
      <c r="AC323" s="63"/>
      <c r="AD323" s="63"/>
      <c r="AE323" s="29" t="s">
        <v>51</v>
      </c>
      <c r="AF323" s="29"/>
      <c r="AG323" s="29"/>
      <c r="AH323" s="29"/>
      <c r="AI323" s="29"/>
      <c r="AJ323" s="29"/>
      <c r="AT323" s="23"/>
      <c r="BT323" s="29"/>
    </row>
    <row r="324" spans="1:72" ht="11.25">
      <c r="A324" s="29"/>
      <c r="B324" s="34"/>
      <c r="C324" s="29"/>
      <c r="D324" s="29" t="s">
        <v>104</v>
      </c>
      <c r="E324" s="29"/>
      <c r="F324" s="39"/>
      <c r="G324" s="39"/>
      <c r="H324" s="39"/>
      <c r="I324" s="39"/>
      <c r="J324" s="39"/>
      <c r="K324" s="39"/>
      <c r="L324" s="69">
        <f>+J313</f>
        <v>3.5</v>
      </c>
      <c r="M324" s="69"/>
      <c r="N324" s="36" t="s">
        <v>45</v>
      </c>
      <c r="O324" s="36">
        <v>2</v>
      </c>
      <c r="P324" s="36" t="s">
        <v>7</v>
      </c>
      <c r="Q324" s="62">
        <f>L324/O324</f>
        <v>1.75</v>
      </c>
      <c r="R324" s="62"/>
      <c r="S324" s="29" t="s">
        <v>15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T324" s="23"/>
      <c r="BT324" s="29"/>
    </row>
    <row r="325" spans="1:72" ht="12" thickBot="1">
      <c r="A325" s="29"/>
      <c r="B325" s="44"/>
      <c r="C325" s="45"/>
      <c r="D325" s="45"/>
      <c r="E325" s="45"/>
      <c r="F325" s="45"/>
      <c r="G325" s="45"/>
      <c r="H325" s="45"/>
      <c r="I325" s="45"/>
      <c r="J325" s="43"/>
      <c r="K325" s="43"/>
      <c r="L325" s="43"/>
      <c r="M325" s="43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3"/>
      <c r="AL325" s="43"/>
      <c r="AM325" s="43"/>
      <c r="AN325" s="43"/>
      <c r="AO325" s="43"/>
      <c r="AP325" s="43"/>
      <c r="AQ325" s="43"/>
      <c r="AR325" s="43"/>
      <c r="AS325" s="43"/>
      <c r="AT325" s="49"/>
      <c r="BT325" s="29"/>
    </row>
    <row r="326" spans="1:72" ht="12" thickTop="1">
      <c r="A326" s="29"/>
      <c r="B326" s="34"/>
      <c r="C326" s="29"/>
      <c r="D326" s="29"/>
      <c r="E326" s="29"/>
      <c r="F326" s="29"/>
      <c r="G326" s="29"/>
      <c r="H326" s="29"/>
      <c r="I326" s="29"/>
      <c r="N326" s="29"/>
      <c r="O326" s="29"/>
      <c r="P326" s="29"/>
      <c r="Q326" s="29"/>
      <c r="R326" s="29"/>
      <c r="S326" s="29"/>
      <c r="AE326" s="29"/>
      <c r="AF326" s="29"/>
      <c r="AG326" s="29"/>
      <c r="AH326" s="29"/>
      <c r="AI326" s="29"/>
      <c r="AJ326" s="29"/>
      <c r="AT326" s="23"/>
      <c r="BT326" s="29"/>
    </row>
    <row r="327" spans="1:72" ht="11.25">
      <c r="A327" s="29"/>
      <c r="B327" s="34"/>
      <c r="C327" s="29"/>
      <c r="D327" s="29"/>
      <c r="E327" s="29"/>
      <c r="F327" s="29"/>
      <c r="G327" s="29"/>
      <c r="H327" s="29"/>
      <c r="I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T327" s="23"/>
      <c r="BT327" s="29"/>
    </row>
    <row r="328" spans="2:46" ht="11.25">
      <c r="B328" s="34"/>
      <c r="C328" s="29"/>
      <c r="D328" s="29"/>
      <c r="E328" s="29"/>
      <c r="J328" s="27" t="s">
        <v>24</v>
      </c>
      <c r="K328" s="65">
        <v>25</v>
      </c>
      <c r="L328" s="65"/>
      <c r="M328" s="27" t="s">
        <v>55</v>
      </c>
      <c r="R328" s="29"/>
      <c r="S328" s="29"/>
      <c r="T328" s="29"/>
      <c r="U328" s="29"/>
      <c r="V328" s="29"/>
      <c r="W328" s="29"/>
      <c r="X328" s="61" t="s">
        <v>251</v>
      </c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T328" s="23"/>
    </row>
    <row r="329" spans="2:46" ht="11.25">
      <c r="B329" s="34"/>
      <c r="C329" s="29"/>
      <c r="D329" s="29"/>
      <c r="E329" s="24"/>
      <c r="P329" s="52"/>
      <c r="R329" s="29"/>
      <c r="S329" s="29"/>
      <c r="T329" s="29"/>
      <c r="U329" s="29"/>
      <c r="V329" s="29"/>
      <c r="W329" s="29" t="s">
        <v>49</v>
      </c>
      <c r="X329" s="65">
        <v>21000</v>
      </c>
      <c r="Y329" s="65"/>
      <c r="Z329" s="29" t="s">
        <v>53</v>
      </c>
      <c r="AB329" s="29"/>
      <c r="AC329" s="29"/>
      <c r="AD329" s="29"/>
      <c r="AE329" s="29"/>
      <c r="AF329" s="29"/>
      <c r="AG329" s="29"/>
      <c r="AH329" s="29"/>
      <c r="AI329" s="29"/>
      <c r="AT329" s="23"/>
    </row>
    <row r="330" spans="2:46" ht="12" thickBot="1">
      <c r="B330" s="34"/>
      <c r="C330" s="29"/>
      <c r="D330" s="29"/>
      <c r="E330" s="24"/>
      <c r="F330" s="25"/>
      <c r="G330" s="26"/>
      <c r="H330" s="26"/>
      <c r="I330" s="26"/>
      <c r="J330" s="26"/>
      <c r="K330" s="26"/>
      <c r="L330" s="26"/>
      <c r="M330" s="26"/>
      <c r="N330" s="26"/>
      <c r="O330" s="26"/>
      <c r="P330" s="52"/>
      <c r="R330" s="29"/>
      <c r="S330" s="29"/>
      <c r="T330" s="29"/>
      <c r="U330" s="29"/>
      <c r="V330" s="29"/>
      <c r="W330" s="29" t="s">
        <v>50</v>
      </c>
      <c r="X330" s="65">
        <v>5645</v>
      </c>
      <c r="Y330" s="65"/>
      <c r="Z330" s="29" t="s">
        <v>54</v>
      </c>
      <c r="AB330" s="29"/>
      <c r="AC330" s="29"/>
      <c r="AD330" s="29"/>
      <c r="AE330" s="29"/>
      <c r="AF330" s="29"/>
      <c r="AG330" s="29"/>
      <c r="AH330" s="29"/>
      <c r="AI330" s="29"/>
      <c r="AT330" s="23"/>
    </row>
    <row r="331" spans="2:46" ht="12" thickTop="1">
      <c r="B331" s="34"/>
      <c r="C331" s="29"/>
      <c r="D331" s="29"/>
      <c r="E331" s="24"/>
      <c r="F331" s="36" t="s">
        <v>41</v>
      </c>
      <c r="O331" s="54" t="s">
        <v>42</v>
      </c>
      <c r="P331" s="52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T331" s="23"/>
    </row>
    <row r="332" spans="2:46" ht="11.25">
      <c r="B332" s="34"/>
      <c r="C332" s="29" t="s">
        <v>20</v>
      </c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 t="s">
        <v>21</v>
      </c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T332" s="23"/>
    </row>
    <row r="333" spans="2:46" ht="11.25">
      <c r="B333" s="34"/>
      <c r="C333" s="29"/>
      <c r="D333" s="29"/>
      <c r="E333" s="29"/>
      <c r="F333" s="29"/>
      <c r="G333" s="29"/>
      <c r="H333" s="29"/>
      <c r="I333" s="29" t="s">
        <v>25</v>
      </c>
      <c r="J333" s="65">
        <v>3</v>
      </c>
      <c r="K333" s="65"/>
      <c r="L333" s="27" t="s">
        <v>15</v>
      </c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T333" s="23"/>
    </row>
    <row r="334" spans="2:46" ht="11.25">
      <c r="B334" s="34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38" t="s">
        <v>197</v>
      </c>
      <c r="AF334" s="29"/>
      <c r="AG334" s="29"/>
      <c r="AH334" s="29"/>
      <c r="AI334" s="29"/>
      <c r="AT334" s="23"/>
    </row>
    <row r="335" spans="1:72" ht="11.25">
      <c r="A335" s="29"/>
      <c r="B335" s="34"/>
      <c r="C335" s="29"/>
      <c r="D335" s="29"/>
      <c r="E335" s="29" t="s">
        <v>35</v>
      </c>
      <c r="F335" s="29"/>
      <c r="G335" s="29"/>
      <c r="H335" s="29"/>
      <c r="I335" s="29"/>
      <c r="J335" s="29"/>
      <c r="K335" s="29"/>
      <c r="L335" s="29"/>
      <c r="M335" s="29"/>
      <c r="N335" s="29"/>
      <c r="O335" s="29" t="s">
        <v>36</v>
      </c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T335" s="23"/>
      <c r="BT335" s="29"/>
    </row>
    <row r="336" spans="1:72" ht="11.25">
      <c r="A336" s="29"/>
      <c r="B336" s="34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T336" s="23"/>
      <c r="BT336" s="29"/>
    </row>
    <row r="337" spans="1:72" ht="11.25">
      <c r="A337" s="29"/>
      <c r="B337" s="34"/>
      <c r="C337" s="29"/>
      <c r="D337" s="29"/>
      <c r="E337" s="29"/>
      <c r="F337" s="29"/>
      <c r="G337" s="29" t="s">
        <v>43</v>
      </c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T337" s="23"/>
      <c r="BT337" s="29"/>
    </row>
    <row r="338" spans="1:72" ht="11.25">
      <c r="A338" s="29"/>
      <c r="B338" s="34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T338" s="23"/>
      <c r="BT338" s="29"/>
    </row>
    <row r="339" spans="1:72" ht="11.25">
      <c r="A339" s="29"/>
      <c r="B339" s="34"/>
      <c r="C339" s="29"/>
      <c r="D339" s="29" t="s">
        <v>118</v>
      </c>
      <c r="E339" s="29"/>
      <c r="F339" s="29"/>
      <c r="I339" s="62">
        <f>+K328</f>
        <v>25</v>
      </c>
      <c r="J339" s="62"/>
      <c r="K339" s="36" t="s">
        <v>4</v>
      </c>
      <c r="L339" s="63">
        <f>+J333</f>
        <v>3</v>
      </c>
      <c r="M339" s="63"/>
      <c r="N339" s="27" t="s">
        <v>6</v>
      </c>
      <c r="O339" s="27">
        <v>2</v>
      </c>
      <c r="P339" s="36" t="s">
        <v>7</v>
      </c>
      <c r="Q339" s="62">
        <f>I339*L339/O339</f>
        <v>37.5</v>
      </c>
      <c r="R339" s="62"/>
      <c r="S339" s="29" t="s">
        <v>55</v>
      </c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T339" s="23"/>
      <c r="BT339" s="29"/>
    </row>
    <row r="340" spans="1:72" ht="11.25">
      <c r="A340" s="29"/>
      <c r="B340" s="34"/>
      <c r="C340" s="29"/>
      <c r="D340" s="29" t="s">
        <v>119</v>
      </c>
      <c r="E340" s="29"/>
      <c r="F340" s="29"/>
      <c r="G340" s="29"/>
      <c r="J340" s="69">
        <f>+K328</f>
        <v>25</v>
      </c>
      <c r="K340" s="69"/>
      <c r="L340" s="36" t="s">
        <v>4</v>
      </c>
      <c r="M340" s="62">
        <f>+J333</f>
        <v>3</v>
      </c>
      <c r="N340" s="62"/>
      <c r="O340" s="27" t="s">
        <v>92</v>
      </c>
      <c r="P340" s="27">
        <v>12</v>
      </c>
      <c r="Q340" s="36" t="s">
        <v>7</v>
      </c>
      <c r="R340" s="63">
        <f>J340*M340^2/P340</f>
        <v>18.75</v>
      </c>
      <c r="S340" s="63"/>
      <c r="T340" s="29" t="s">
        <v>57</v>
      </c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T340" s="23"/>
      <c r="BT340" s="29"/>
    </row>
    <row r="341" spans="1:72" ht="11.25">
      <c r="A341" s="29"/>
      <c r="B341" s="34"/>
      <c r="C341" s="29"/>
      <c r="D341" s="29" t="s">
        <v>120</v>
      </c>
      <c r="E341" s="29"/>
      <c r="F341" s="39"/>
      <c r="G341" s="39"/>
      <c r="H341" s="39"/>
      <c r="I341" s="63">
        <f>+K328</f>
        <v>25</v>
      </c>
      <c r="J341" s="63"/>
      <c r="K341" s="39" t="s">
        <v>4</v>
      </c>
      <c r="L341" s="69">
        <f>+J333</f>
        <v>3</v>
      </c>
      <c r="M341" s="69"/>
      <c r="N341" s="39" t="s">
        <v>23</v>
      </c>
      <c r="O341" s="27">
        <v>24</v>
      </c>
      <c r="P341" s="36" t="s">
        <v>7</v>
      </c>
      <c r="Q341" s="62">
        <f>I341*L341^2/O341</f>
        <v>9.375</v>
      </c>
      <c r="R341" s="62"/>
      <c r="S341" s="29" t="s">
        <v>58</v>
      </c>
      <c r="T341" s="29"/>
      <c r="U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T341" s="23"/>
      <c r="BT341" s="29"/>
    </row>
    <row r="342" spans="1:72" ht="11.25">
      <c r="A342" s="29"/>
      <c r="B342" s="34"/>
      <c r="C342" s="29"/>
      <c r="D342" s="29" t="s">
        <v>100</v>
      </c>
      <c r="E342" s="29"/>
      <c r="F342" s="39"/>
      <c r="G342" s="39"/>
      <c r="H342" s="39"/>
      <c r="I342" s="39"/>
      <c r="J342" s="39"/>
      <c r="K342" s="39"/>
      <c r="L342" s="39"/>
      <c r="M342" s="69">
        <f>+J333</f>
        <v>3</v>
      </c>
      <c r="N342" s="69"/>
      <c r="O342" s="36" t="s">
        <v>45</v>
      </c>
      <c r="P342" s="36">
        <v>2</v>
      </c>
      <c r="Q342" s="36" t="s">
        <v>7</v>
      </c>
      <c r="R342" s="62">
        <f>M342/P342</f>
        <v>1.5</v>
      </c>
      <c r="S342" s="62"/>
      <c r="T342" s="29" t="s">
        <v>15</v>
      </c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T342" s="23"/>
      <c r="BT342" s="29"/>
    </row>
    <row r="343" spans="1:72" ht="11.25">
      <c r="A343" s="29"/>
      <c r="B343" s="34"/>
      <c r="C343" s="29"/>
      <c r="D343" s="29" t="s">
        <v>121</v>
      </c>
      <c r="K343" s="36"/>
      <c r="L343" s="36"/>
      <c r="M343" s="62">
        <f>+K328/100</f>
        <v>0.25</v>
      </c>
      <c r="N343" s="62"/>
      <c r="O343" s="39" t="s">
        <v>4</v>
      </c>
      <c r="P343" s="63">
        <f>+J333*100</f>
        <v>300</v>
      </c>
      <c r="Q343" s="63"/>
      <c r="R343" s="48" t="s">
        <v>95</v>
      </c>
      <c r="S343" s="62">
        <v>384</v>
      </c>
      <c r="T343" s="62"/>
      <c r="U343" s="36" t="s">
        <v>4</v>
      </c>
      <c r="V343" s="62">
        <f>+X329</f>
        <v>21000</v>
      </c>
      <c r="W343" s="62"/>
      <c r="X343" s="36" t="s">
        <v>4</v>
      </c>
      <c r="Y343" s="63">
        <f>+X330</f>
        <v>5645</v>
      </c>
      <c r="Z343" s="63"/>
      <c r="AA343" s="29" t="s">
        <v>31</v>
      </c>
      <c r="AB343" s="63">
        <f>M343*P343^4/(S343*V343*Y343)</f>
        <v>0.04448468935847147</v>
      </c>
      <c r="AC343" s="63"/>
      <c r="AD343" s="63"/>
      <c r="AE343" s="29" t="s">
        <v>51</v>
      </c>
      <c r="AF343" s="29"/>
      <c r="AG343" s="29"/>
      <c r="AH343" s="29"/>
      <c r="AI343" s="29"/>
      <c r="AJ343" s="29"/>
      <c r="AT343" s="23"/>
      <c r="BT343" s="29"/>
    </row>
    <row r="344" spans="1:72" ht="11.25">
      <c r="A344" s="29"/>
      <c r="B344" s="34"/>
      <c r="C344" s="29"/>
      <c r="D344" s="29" t="s">
        <v>104</v>
      </c>
      <c r="E344" s="29"/>
      <c r="F344" s="39"/>
      <c r="G344" s="39"/>
      <c r="H344" s="39"/>
      <c r="I344" s="39"/>
      <c r="J344" s="39"/>
      <c r="K344" s="39"/>
      <c r="L344" s="69">
        <f>+J333</f>
        <v>3</v>
      </c>
      <c r="M344" s="69"/>
      <c r="N344" s="36" t="s">
        <v>45</v>
      </c>
      <c r="O344" s="36">
        <v>2</v>
      </c>
      <c r="P344" s="36" t="s">
        <v>7</v>
      </c>
      <c r="Q344" s="62">
        <f>L344/O344</f>
        <v>1.5</v>
      </c>
      <c r="R344" s="62"/>
      <c r="S344" s="29" t="s">
        <v>15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T344" s="23"/>
      <c r="BT344" s="29"/>
    </row>
    <row r="345" spans="1:72" ht="12" thickBot="1">
      <c r="A345" s="29"/>
      <c r="B345" s="44"/>
      <c r="C345" s="45"/>
      <c r="D345" s="45"/>
      <c r="E345" s="45"/>
      <c r="F345" s="45"/>
      <c r="G345" s="45"/>
      <c r="H345" s="45"/>
      <c r="I345" s="45"/>
      <c r="J345" s="43"/>
      <c r="K345" s="43"/>
      <c r="L345" s="43"/>
      <c r="M345" s="43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3"/>
      <c r="AL345" s="43"/>
      <c r="AM345" s="43"/>
      <c r="AT345" s="23"/>
      <c r="BT345" s="29"/>
    </row>
    <row r="346" spans="1:72" ht="12" thickTop="1">
      <c r="A346" s="29"/>
      <c r="B346" s="34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E346" s="29"/>
      <c r="AF346" s="29"/>
      <c r="AG346" s="29"/>
      <c r="AH346" s="29"/>
      <c r="AI346" s="29"/>
      <c r="AJ346" s="31"/>
      <c r="AK346" s="32"/>
      <c r="AL346" s="32"/>
      <c r="AM346" s="32"/>
      <c r="AN346" s="32"/>
      <c r="AO346" s="32"/>
      <c r="AP346" s="32"/>
      <c r="AQ346" s="32"/>
      <c r="AR346" s="32"/>
      <c r="AS346" s="32"/>
      <c r="AT346" s="33"/>
      <c r="BT346" s="29"/>
    </row>
    <row r="347" spans="1:72" ht="11.25">
      <c r="A347" s="29"/>
      <c r="B347" s="34"/>
      <c r="C347" s="29"/>
      <c r="D347" s="29"/>
      <c r="E347" s="29"/>
      <c r="F347" s="29"/>
      <c r="G347" s="29"/>
      <c r="H347" s="29"/>
      <c r="I347" s="29"/>
      <c r="J347" s="27" t="s">
        <v>24</v>
      </c>
      <c r="K347" s="65">
        <v>2.56</v>
      </c>
      <c r="L347" s="65"/>
      <c r="M347" s="27" t="s">
        <v>69</v>
      </c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T347" s="23"/>
      <c r="BT347" s="29"/>
    </row>
    <row r="348" spans="1:72" ht="11.25">
      <c r="A348" s="29"/>
      <c r="B348" s="34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T348" s="23"/>
      <c r="BT348" s="29"/>
    </row>
    <row r="349" spans="1:72" ht="11.25">
      <c r="A349" s="29"/>
      <c r="B349" s="34"/>
      <c r="C349" s="29"/>
      <c r="D349" s="29"/>
      <c r="E349" s="29"/>
      <c r="R349" s="29"/>
      <c r="S349" s="29"/>
      <c r="T349" s="29"/>
      <c r="U349" s="29"/>
      <c r="V349" s="29"/>
      <c r="W349" s="29"/>
      <c r="X349" s="61" t="s">
        <v>251</v>
      </c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T349" s="23"/>
      <c r="BT349" s="29"/>
    </row>
    <row r="350" spans="1:72" ht="11.25">
      <c r="A350" s="29"/>
      <c r="B350" s="34"/>
      <c r="C350" s="29"/>
      <c r="D350" s="29"/>
      <c r="E350" s="24"/>
      <c r="P350" s="52"/>
      <c r="R350" s="29"/>
      <c r="S350" s="29"/>
      <c r="T350" s="29"/>
      <c r="U350" s="29"/>
      <c r="V350" s="29"/>
      <c r="W350" s="29" t="s">
        <v>49</v>
      </c>
      <c r="X350" s="65">
        <v>21000</v>
      </c>
      <c r="Y350" s="65"/>
      <c r="Z350" s="29" t="s">
        <v>53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T350" s="23"/>
      <c r="BT350" s="29"/>
    </row>
    <row r="351" spans="1:72" ht="12" thickBot="1">
      <c r="A351" s="29"/>
      <c r="B351" s="34"/>
      <c r="C351" s="29"/>
      <c r="D351" s="29"/>
      <c r="E351" s="24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52"/>
      <c r="R351" s="29"/>
      <c r="S351" s="29"/>
      <c r="T351" s="29"/>
      <c r="U351" s="29"/>
      <c r="V351" s="29"/>
      <c r="W351" s="29" t="s">
        <v>50</v>
      </c>
      <c r="X351" s="65">
        <v>5645</v>
      </c>
      <c r="Y351" s="65"/>
      <c r="Z351" s="29" t="s">
        <v>54</v>
      </c>
      <c r="AB351" s="29"/>
      <c r="AC351" s="29"/>
      <c r="AD351" s="29"/>
      <c r="AE351" s="29"/>
      <c r="AF351" s="29"/>
      <c r="AG351" s="29"/>
      <c r="AH351" s="29"/>
      <c r="AI351" s="29"/>
      <c r="AJ351" s="29"/>
      <c r="AT351" s="23"/>
      <c r="BT351" s="29"/>
    </row>
    <row r="352" spans="1:72" ht="12" thickTop="1">
      <c r="A352" s="29"/>
      <c r="B352" s="34"/>
      <c r="C352" s="29"/>
      <c r="D352" s="29"/>
      <c r="E352" s="24"/>
      <c r="F352" s="55" t="s">
        <v>41</v>
      </c>
      <c r="G352" s="32"/>
      <c r="H352" s="32"/>
      <c r="I352" s="32"/>
      <c r="J352" s="32"/>
      <c r="K352" s="32"/>
      <c r="L352" s="32"/>
      <c r="M352" s="32"/>
      <c r="N352" s="32"/>
      <c r="O352" s="56" t="s">
        <v>42</v>
      </c>
      <c r="P352" s="52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T352" s="23"/>
      <c r="BT352" s="29"/>
    </row>
    <row r="353" spans="1:72" ht="11.25">
      <c r="A353" s="29"/>
      <c r="B353" s="34"/>
      <c r="C353" s="29" t="s">
        <v>20</v>
      </c>
      <c r="D353" s="29"/>
      <c r="E353" s="29"/>
      <c r="F353" s="29"/>
      <c r="I353" s="29"/>
      <c r="J353" s="29"/>
      <c r="N353" s="29"/>
      <c r="O353" s="29"/>
      <c r="P353" s="29"/>
      <c r="Q353" s="29"/>
      <c r="R353" s="29" t="s">
        <v>21</v>
      </c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T353" s="23"/>
      <c r="BT353" s="29"/>
    </row>
    <row r="354" spans="1:72" ht="11.25">
      <c r="A354" s="29"/>
      <c r="B354" s="34"/>
      <c r="C354" s="29"/>
      <c r="D354" s="29"/>
      <c r="E354" s="29"/>
      <c r="G354" s="63">
        <f>+J356/2</f>
        <v>3.85</v>
      </c>
      <c r="H354" s="63"/>
      <c r="I354" s="27" t="s">
        <v>15</v>
      </c>
      <c r="J354" s="63"/>
      <c r="K354" s="63"/>
      <c r="L354" s="63">
        <f>+G354</f>
        <v>3.85</v>
      </c>
      <c r="M354" s="63"/>
      <c r="N354" s="27" t="s">
        <v>15</v>
      </c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38" t="s">
        <v>197</v>
      </c>
      <c r="AF354" s="29"/>
      <c r="AG354" s="29"/>
      <c r="AH354" s="29"/>
      <c r="AI354" s="29"/>
      <c r="AJ354" s="29"/>
      <c r="AT354" s="23"/>
      <c r="BT354" s="29"/>
    </row>
    <row r="355" spans="1:72" ht="11.25">
      <c r="A355" s="29"/>
      <c r="B355" s="34"/>
      <c r="C355" s="29"/>
      <c r="D355" s="29"/>
      <c r="E355" s="29"/>
      <c r="F355" s="29"/>
      <c r="G355" s="29"/>
      <c r="H355" s="29"/>
      <c r="I355" s="29"/>
      <c r="J355" s="29"/>
      <c r="N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T355" s="23"/>
      <c r="BT355" s="29"/>
    </row>
    <row r="356" spans="1:72" ht="11.25">
      <c r="A356" s="29"/>
      <c r="B356" s="34"/>
      <c r="C356" s="29"/>
      <c r="D356" s="29"/>
      <c r="E356" s="29"/>
      <c r="F356" s="29"/>
      <c r="G356" s="29"/>
      <c r="H356" s="29"/>
      <c r="I356" s="29" t="s">
        <v>25</v>
      </c>
      <c r="J356" s="65">
        <v>7.7</v>
      </c>
      <c r="K356" s="65"/>
      <c r="L356" s="27" t="s">
        <v>15</v>
      </c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T356" s="23"/>
      <c r="BT356" s="29"/>
    </row>
    <row r="357" spans="1:72" ht="11.25">
      <c r="A357" s="29"/>
      <c r="B357" s="34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T357" s="23"/>
      <c r="BT357" s="29"/>
    </row>
    <row r="358" spans="1:72" ht="11.25">
      <c r="A358" s="29"/>
      <c r="B358" s="34"/>
      <c r="C358" s="29"/>
      <c r="D358" s="29"/>
      <c r="E358" s="29" t="s">
        <v>35</v>
      </c>
      <c r="F358" s="29"/>
      <c r="G358" s="29"/>
      <c r="H358" s="29"/>
      <c r="I358" s="29"/>
      <c r="J358" s="29"/>
      <c r="K358" s="29"/>
      <c r="L358" s="29"/>
      <c r="M358" s="29"/>
      <c r="N358" s="29"/>
      <c r="O358" s="29" t="s">
        <v>36</v>
      </c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T358" s="23"/>
      <c r="BT358" s="29"/>
    </row>
    <row r="359" spans="1:72" ht="11.25">
      <c r="A359" s="29"/>
      <c r="B359" s="34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T359" s="23"/>
      <c r="BT359" s="29"/>
    </row>
    <row r="360" spans="1:72" ht="11.25">
      <c r="A360" s="29"/>
      <c r="B360" s="34"/>
      <c r="C360" s="29"/>
      <c r="D360" s="29"/>
      <c r="E360" s="29"/>
      <c r="F360" s="29"/>
      <c r="G360" s="29" t="s">
        <v>43</v>
      </c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T360" s="23"/>
      <c r="BT360" s="29"/>
    </row>
    <row r="361" spans="1:72" ht="11.25">
      <c r="A361" s="29"/>
      <c r="B361" s="34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T361" s="23"/>
      <c r="BT361" s="29"/>
    </row>
    <row r="362" spans="1:72" ht="11.25">
      <c r="A362" s="29"/>
      <c r="B362" s="34"/>
      <c r="C362" s="29"/>
      <c r="D362" s="29" t="s">
        <v>122</v>
      </c>
      <c r="E362" s="29"/>
      <c r="F362" s="29"/>
      <c r="I362" s="62">
        <f>+K347</f>
        <v>2.56</v>
      </c>
      <c r="J362" s="62"/>
      <c r="K362" s="36" t="s">
        <v>4</v>
      </c>
      <c r="L362" s="63">
        <f>+J356</f>
        <v>7.7</v>
      </c>
      <c r="M362" s="63"/>
      <c r="N362" s="27" t="s">
        <v>6</v>
      </c>
      <c r="O362" s="27">
        <v>4</v>
      </c>
      <c r="P362" s="36" t="s">
        <v>7</v>
      </c>
      <c r="Q362" s="62">
        <f>I362*L362/O362</f>
        <v>4.928</v>
      </c>
      <c r="R362" s="62"/>
      <c r="S362" s="29" t="s">
        <v>55</v>
      </c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T362" s="23"/>
      <c r="BT362" s="29"/>
    </row>
    <row r="363" spans="1:72" ht="11.25">
      <c r="A363" s="29"/>
      <c r="B363" s="34"/>
      <c r="C363" s="29"/>
      <c r="D363" s="29" t="s">
        <v>123</v>
      </c>
      <c r="E363" s="29"/>
      <c r="F363" s="29"/>
      <c r="G363" s="29"/>
      <c r="K363" s="27">
        <v>5</v>
      </c>
      <c r="L363" s="36" t="s">
        <v>4</v>
      </c>
      <c r="M363" s="69">
        <f>+K347</f>
        <v>2.56</v>
      </c>
      <c r="N363" s="69"/>
      <c r="O363" s="36" t="s">
        <v>4</v>
      </c>
      <c r="P363" s="62">
        <f>+J356</f>
        <v>7.7</v>
      </c>
      <c r="Q363" s="62"/>
      <c r="R363" s="27" t="s">
        <v>92</v>
      </c>
      <c r="S363" s="27">
        <v>96</v>
      </c>
      <c r="T363" s="36" t="s">
        <v>7</v>
      </c>
      <c r="U363" s="63">
        <f>K363*M363*P363^2/S363</f>
        <v>7.905333333333335</v>
      </c>
      <c r="V363" s="63"/>
      <c r="W363" s="29" t="s">
        <v>57</v>
      </c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T363" s="23"/>
      <c r="BT363" s="29"/>
    </row>
    <row r="364" spans="1:72" ht="11.25">
      <c r="A364" s="29"/>
      <c r="B364" s="34"/>
      <c r="C364" s="29"/>
      <c r="D364" s="29" t="s">
        <v>124</v>
      </c>
      <c r="E364" s="29"/>
      <c r="F364" s="29"/>
      <c r="G364" s="29"/>
      <c r="H364" s="29"/>
      <c r="I364" s="69">
        <f>+K347</f>
        <v>2.56</v>
      </c>
      <c r="J364" s="69"/>
      <c r="K364" s="36" t="s">
        <v>4</v>
      </c>
      <c r="L364" s="62">
        <f>+J356</f>
        <v>7.7</v>
      </c>
      <c r="M364" s="62"/>
      <c r="N364" s="27" t="s">
        <v>92</v>
      </c>
      <c r="O364" s="27">
        <v>32</v>
      </c>
      <c r="P364" s="36" t="s">
        <v>7</v>
      </c>
      <c r="Q364" s="63">
        <f>I364*L364^2/O364</f>
        <v>4.743200000000001</v>
      </c>
      <c r="R364" s="63"/>
      <c r="S364" s="29" t="s">
        <v>58</v>
      </c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T364" s="23"/>
      <c r="BT364" s="29"/>
    </row>
    <row r="365" spans="1:72" ht="11.25">
      <c r="A365" s="29"/>
      <c r="B365" s="34"/>
      <c r="C365" s="29"/>
      <c r="D365" s="29" t="s">
        <v>100</v>
      </c>
      <c r="E365" s="29"/>
      <c r="F365" s="39"/>
      <c r="G365" s="39"/>
      <c r="H365" s="39"/>
      <c r="I365" s="39"/>
      <c r="J365" s="39"/>
      <c r="K365" s="39"/>
      <c r="L365" s="39"/>
      <c r="M365" s="69">
        <f>+J356</f>
        <v>7.7</v>
      </c>
      <c r="N365" s="69"/>
      <c r="O365" s="36" t="s">
        <v>45</v>
      </c>
      <c r="P365" s="36">
        <v>2</v>
      </c>
      <c r="Q365" s="36" t="s">
        <v>7</v>
      </c>
      <c r="R365" s="62">
        <f>M365/P365</f>
        <v>3.85</v>
      </c>
      <c r="S365" s="62"/>
      <c r="T365" s="29" t="s">
        <v>15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T365" s="23"/>
      <c r="BT365" s="29"/>
    </row>
    <row r="366" spans="1:72" ht="11.25">
      <c r="A366" s="29"/>
      <c r="B366" s="34"/>
      <c r="C366" s="29"/>
      <c r="D366" s="29" t="s">
        <v>125</v>
      </c>
      <c r="K366" s="36"/>
      <c r="L366" s="36"/>
      <c r="M366" s="62">
        <f>+K347/100</f>
        <v>0.0256</v>
      </c>
      <c r="N366" s="62"/>
      <c r="O366" s="39" t="s">
        <v>4</v>
      </c>
      <c r="P366" s="63">
        <f>+J356*100</f>
        <v>770</v>
      </c>
      <c r="Q366" s="63"/>
      <c r="R366" s="48" t="s">
        <v>95</v>
      </c>
      <c r="S366" s="62">
        <v>549</v>
      </c>
      <c r="T366" s="62"/>
      <c r="U366" s="36" t="s">
        <v>4</v>
      </c>
      <c r="V366" s="62">
        <f>+X350</f>
        <v>21000</v>
      </c>
      <c r="W366" s="62"/>
      <c r="X366" s="36" t="s">
        <v>4</v>
      </c>
      <c r="Y366" s="63">
        <f>+X351</f>
        <v>5645</v>
      </c>
      <c r="Z366" s="63"/>
      <c r="AA366" s="29" t="s">
        <v>31</v>
      </c>
      <c r="AB366" s="63">
        <f>M366*P366^4/(S366*V366*Y366)</f>
        <v>0.13827615048000416</v>
      </c>
      <c r="AC366" s="63"/>
      <c r="AD366" s="63"/>
      <c r="AE366" s="29" t="s">
        <v>51</v>
      </c>
      <c r="AF366" s="29"/>
      <c r="AG366" s="29"/>
      <c r="AH366" s="29"/>
      <c r="AI366" s="29"/>
      <c r="AJ366" s="29"/>
      <c r="AT366" s="23"/>
      <c r="BT366" s="29"/>
    </row>
    <row r="367" spans="1:72" ht="11.25">
      <c r="A367" s="29"/>
      <c r="B367" s="34"/>
      <c r="C367" s="29"/>
      <c r="D367" s="29" t="s">
        <v>104</v>
      </c>
      <c r="E367" s="29"/>
      <c r="F367" s="39"/>
      <c r="G367" s="39"/>
      <c r="H367" s="39"/>
      <c r="I367" s="39"/>
      <c r="J367" s="39"/>
      <c r="K367" s="39"/>
      <c r="L367" s="69">
        <f>+J356</f>
        <v>7.7</v>
      </c>
      <c r="M367" s="69"/>
      <c r="N367" s="36" t="s">
        <v>45</v>
      </c>
      <c r="O367" s="36">
        <v>2</v>
      </c>
      <c r="P367" s="36" t="s">
        <v>7</v>
      </c>
      <c r="Q367" s="62">
        <f>L367/O367</f>
        <v>3.85</v>
      </c>
      <c r="R367" s="62"/>
      <c r="S367" s="29" t="s">
        <v>15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T367" s="23"/>
      <c r="BT367" s="29"/>
    </row>
    <row r="368" spans="1:72" ht="12" thickBot="1">
      <c r="A368" s="29"/>
      <c r="B368" s="44"/>
      <c r="C368" s="45"/>
      <c r="D368" s="45"/>
      <c r="E368" s="45"/>
      <c r="F368" s="45"/>
      <c r="G368" s="45"/>
      <c r="H368" s="45"/>
      <c r="I368" s="45"/>
      <c r="J368" s="43"/>
      <c r="K368" s="43"/>
      <c r="L368" s="43"/>
      <c r="M368" s="43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3"/>
      <c r="AL368" s="43"/>
      <c r="AM368" s="43"/>
      <c r="AN368" s="43"/>
      <c r="AO368" s="43"/>
      <c r="AP368" s="43"/>
      <c r="AQ368" s="43"/>
      <c r="AR368" s="43"/>
      <c r="AS368" s="43"/>
      <c r="AT368" s="49"/>
      <c r="BT368" s="29"/>
    </row>
    <row r="369" spans="1:72" ht="12" thickTop="1">
      <c r="A369" s="29"/>
      <c r="B369" s="34"/>
      <c r="C369" s="29"/>
      <c r="D369" s="29"/>
      <c r="E369" s="29"/>
      <c r="F369" s="29"/>
      <c r="G369" s="29"/>
      <c r="H369" s="29"/>
      <c r="I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E369" s="29"/>
      <c r="AF369" s="29"/>
      <c r="AG369" s="29"/>
      <c r="AH369" s="29"/>
      <c r="AI369" s="29"/>
      <c r="AJ369" s="29"/>
      <c r="AT369" s="23"/>
      <c r="BT369" s="29"/>
    </row>
    <row r="370" spans="1:72" ht="11.25">
      <c r="A370" s="29"/>
      <c r="B370" s="34"/>
      <c r="C370" s="29"/>
      <c r="D370" s="29"/>
      <c r="E370" s="29"/>
      <c r="F370" s="29"/>
      <c r="G370" s="29"/>
      <c r="H370" s="29"/>
      <c r="I370" s="29"/>
      <c r="J370" s="27" t="s">
        <v>24</v>
      </c>
      <c r="K370" s="65">
        <v>2.56</v>
      </c>
      <c r="L370" s="65"/>
      <c r="M370" s="27" t="s">
        <v>69</v>
      </c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T370" s="23"/>
      <c r="BT370" s="29"/>
    </row>
    <row r="371" spans="1:72" ht="11.25">
      <c r="A371" s="29"/>
      <c r="B371" s="34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61" t="s">
        <v>251</v>
      </c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T371" s="23"/>
      <c r="BT371" s="29"/>
    </row>
    <row r="372" spans="1:72" ht="11.25">
      <c r="A372" s="29"/>
      <c r="B372" s="34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 t="s">
        <v>49</v>
      </c>
      <c r="X372" s="65">
        <v>21000</v>
      </c>
      <c r="Y372" s="65"/>
      <c r="Z372" s="29" t="s">
        <v>53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T372" s="23"/>
      <c r="BT372" s="29"/>
    </row>
    <row r="373" spans="1:72" ht="11.25">
      <c r="A373" s="29"/>
      <c r="B373" s="34"/>
      <c r="C373" s="29"/>
      <c r="D373" s="29"/>
      <c r="E373" s="29"/>
      <c r="R373" s="29"/>
      <c r="S373" s="29"/>
      <c r="T373" s="29"/>
      <c r="U373" s="29"/>
      <c r="V373" s="29"/>
      <c r="W373" s="29" t="s">
        <v>50</v>
      </c>
      <c r="X373" s="65">
        <v>5645</v>
      </c>
      <c r="Y373" s="65"/>
      <c r="Z373" s="29" t="s">
        <v>54</v>
      </c>
      <c r="AB373" s="29"/>
      <c r="AC373" s="29"/>
      <c r="AD373" s="29"/>
      <c r="AE373" s="29"/>
      <c r="AF373" s="29"/>
      <c r="AG373" s="29"/>
      <c r="AH373" s="29"/>
      <c r="AI373" s="29"/>
      <c r="AJ373" s="29"/>
      <c r="AT373" s="23"/>
      <c r="BT373" s="29"/>
    </row>
    <row r="374" spans="1:72" ht="11.25">
      <c r="A374" s="29"/>
      <c r="B374" s="34"/>
      <c r="C374" s="29"/>
      <c r="D374" s="29"/>
      <c r="E374" s="24"/>
      <c r="P374" s="52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T374" s="23"/>
      <c r="BT374" s="29"/>
    </row>
    <row r="375" spans="1:72" ht="12" thickBot="1">
      <c r="A375" s="29"/>
      <c r="B375" s="34"/>
      <c r="C375" s="29"/>
      <c r="D375" s="29"/>
      <c r="E375" s="24"/>
      <c r="F375" s="44"/>
      <c r="G375" s="45"/>
      <c r="H375" s="45"/>
      <c r="I375" s="45"/>
      <c r="J375" s="45"/>
      <c r="K375" s="45"/>
      <c r="L375" s="45"/>
      <c r="M375" s="45"/>
      <c r="N375" s="45"/>
      <c r="O375" s="45"/>
      <c r="P375" s="52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T375" s="23"/>
      <c r="BT375" s="29"/>
    </row>
    <row r="376" spans="1:72" ht="12" thickTop="1">
      <c r="A376" s="29"/>
      <c r="B376" s="34"/>
      <c r="C376" s="29"/>
      <c r="D376" s="29"/>
      <c r="E376" s="24"/>
      <c r="F376" s="36" t="s">
        <v>41</v>
      </c>
      <c r="O376" s="27" t="s">
        <v>42</v>
      </c>
      <c r="P376" s="52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T376" s="23"/>
      <c r="BT376" s="29"/>
    </row>
    <row r="377" spans="1:72" ht="11.25">
      <c r="A377" s="29"/>
      <c r="B377" s="34"/>
      <c r="C377" s="29" t="s">
        <v>20</v>
      </c>
      <c r="D377" s="29"/>
      <c r="E377" s="29"/>
      <c r="F377" s="29"/>
      <c r="G377" s="29"/>
      <c r="H377" s="29"/>
      <c r="I377" s="29"/>
      <c r="J377" s="29"/>
      <c r="N377" s="29"/>
      <c r="O377" s="29"/>
      <c r="P377" s="29"/>
      <c r="Q377" s="29"/>
      <c r="R377" s="29" t="s">
        <v>21</v>
      </c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T377" s="23"/>
      <c r="BT377" s="29"/>
    </row>
    <row r="378" spans="1:72" ht="11.25">
      <c r="A378" s="29"/>
      <c r="B378" s="34"/>
      <c r="C378" s="29"/>
      <c r="D378" s="29"/>
      <c r="E378" s="29"/>
      <c r="F378" s="29"/>
      <c r="G378" s="29"/>
      <c r="H378" s="29"/>
      <c r="I378" s="29" t="s">
        <v>25</v>
      </c>
      <c r="J378" s="65">
        <v>7.7</v>
      </c>
      <c r="K378" s="65"/>
      <c r="L378" s="27" t="s">
        <v>15</v>
      </c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38" t="s">
        <v>197</v>
      </c>
      <c r="AF378" s="29"/>
      <c r="AG378" s="29"/>
      <c r="AH378" s="29"/>
      <c r="AI378" s="29"/>
      <c r="AJ378" s="29"/>
      <c r="AT378" s="23"/>
      <c r="BT378" s="29"/>
    </row>
    <row r="379" spans="1:72" ht="11.25">
      <c r="A379" s="29"/>
      <c r="B379" s="34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T379" s="23"/>
      <c r="BT379" s="29"/>
    </row>
    <row r="380" spans="1:72" ht="11.25">
      <c r="A380" s="29"/>
      <c r="B380" s="34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T380" s="23"/>
      <c r="BT380" s="29"/>
    </row>
    <row r="381" spans="1:72" ht="11.25">
      <c r="A381" s="29"/>
      <c r="B381" s="34"/>
      <c r="C381" s="29"/>
      <c r="D381" s="29"/>
      <c r="E381" s="29" t="s">
        <v>35</v>
      </c>
      <c r="F381" s="29"/>
      <c r="G381" s="29"/>
      <c r="H381" s="29"/>
      <c r="I381" s="29"/>
      <c r="J381" s="29"/>
      <c r="K381" s="29"/>
      <c r="L381" s="29"/>
      <c r="M381" s="29"/>
      <c r="N381" s="29"/>
      <c r="O381" s="29" t="s">
        <v>36</v>
      </c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T381" s="23"/>
      <c r="BT381" s="29"/>
    </row>
    <row r="382" spans="1:72" ht="11.25">
      <c r="A382" s="29"/>
      <c r="B382" s="34"/>
      <c r="C382" s="29"/>
      <c r="D382" s="29"/>
      <c r="E382" s="29"/>
      <c r="F382" s="29"/>
      <c r="G382" s="29" t="s">
        <v>43</v>
      </c>
      <c r="H382" s="29"/>
      <c r="I382" s="29"/>
      <c r="J382" s="29"/>
      <c r="K382" s="29"/>
      <c r="L382" s="29"/>
      <c r="M382" s="29"/>
      <c r="N382" s="29"/>
      <c r="O382" s="29"/>
      <c r="P382" s="29"/>
      <c r="AC382" s="29"/>
      <c r="AD382" s="29"/>
      <c r="AE382" s="29"/>
      <c r="AF382" s="29"/>
      <c r="AG382" s="29"/>
      <c r="AH382" s="29"/>
      <c r="AI382" s="29"/>
      <c r="AJ382" s="29"/>
      <c r="AT382" s="23"/>
      <c r="BT382" s="29"/>
    </row>
    <row r="383" spans="1:72" ht="11.25">
      <c r="A383" s="29"/>
      <c r="B383" s="34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AC383" s="29"/>
      <c r="AD383" s="29"/>
      <c r="AE383" s="29"/>
      <c r="AF383" s="29"/>
      <c r="AG383" s="29"/>
      <c r="AH383" s="29"/>
      <c r="AI383" s="29"/>
      <c r="AJ383" s="29"/>
      <c r="AT383" s="23"/>
      <c r="BT383" s="29"/>
    </row>
    <row r="384" spans="1:72" ht="11.25">
      <c r="A384" s="29"/>
      <c r="B384" s="34"/>
      <c r="C384" s="29"/>
      <c r="D384" s="29" t="s">
        <v>127</v>
      </c>
      <c r="E384" s="29"/>
      <c r="F384" s="39"/>
      <c r="G384" s="39"/>
      <c r="H384" s="39"/>
      <c r="J384" s="39">
        <v>7</v>
      </c>
      <c r="K384" s="39" t="s">
        <v>4</v>
      </c>
      <c r="L384" s="63">
        <f>+K370</f>
        <v>2.56</v>
      </c>
      <c r="M384" s="63"/>
      <c r="N384" s="39" t="s">
        <v>4</v>
      </c>
      <c r="O384" s="69">
        <f>+J378</f>
        <v>7.7</v>
      </c>
      <c r="P384" s="69"/>
      <c r="Q384" s="29" t="s">
        <v>6</v>
      </c>
      <c r="R384" s="36">
        <v>20</v>
      </c>
      <c r="S384" s="36" t="s">
        <v>7</v>
      </c>
      <c r="T384" s="62">
        <f>+J384*L384*O384/R384</f>
        <v>6.8992</v>
      </c>
      <c r="U384" s="62"/>
      <c r="V384" s="29" t="s">
        <v>55</v>
      </c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T384" s="23"/>
      <c r="BT384" s="29"/>
    </row>
    <row r="385" spans="1:72" ht="11.25">
      <c r="A385" s="29"/>
      <c r="B385" s="34"/>
      <c r="C385" s="29"/>
      <c r="D385" s="29" t="s">
        <v>126</v>
      </c>
      <c r="E385" s="29"/>
      <c r="F385" s="39"/>
      <c r="G385" s="39"/>
      <c r="H385" s="39"/>
      <c r="J385" s="39">
        <v>3</v>
      </c>
      <c r="K385" s="39" t="s">
        <v>4</v>
      </c>
      <c r="L385" s="63">
        <f>+K370</f>
        <v>2.56</v>
      </c>
      <c r="M385" s="63"/>
      <c r="N385" s="39" t="s">
        <v>4</v>
      </c>
      <c r="O385" s="69">
        <f>+J378</f>
        <v>7.7</v>
      </c>
      <c r="P385" s="69"/>
      <c r="Q385" s="29" t="s">
        <v>6</v>
      </c>
      <c r="R385" s="36">
        <v>20</v>
      </c>
      <c r="S385" s="36" t="s">
        <v>7</v>
      </c>
      <c r="T385" s="62">
        <f>+J385*L385*O385/R385</f>
        <v>2.9568</v>
      </c>
      <c r="U385" s="62"/>
      <c r="V385" s="29" t="s">
        <v>55</v>
      </c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T385" s="23"/>
      <c r="BT385" s="29"/>
    </row>
    <row r="386" spans="1:72" ht="11.25">
      <c r="A386" s="29"/>
      <c r="B386" s="34"/>
      <c r="C386" s="29"/>
      <c r="D386" s="29" t="s">
        <v>128</v>
      </c>
      <c r="E386" s="29"/>
      <c r="F386" s="29"/>
      <c r="G386" s="29"/>
      <c r="I386" s="69">
        <f>+K370</f>
        <v>2.56</v>
      </c>
      <c r="J386" s="69"/>
      <c r="K386" s="36" t="s">
        <v>4</v>
      </c>
      <c r="L386" s="62">
        <f>+J378</f>
        <v>7.7</v>
      </c>
      <c r="M386" s="62"/>
      <c r="N386" s="27" t="s">
        <v>92</v>
      </c>
      <c r="O386" s="27">
        <v>20</v>
      </c>
      <c r="P386" s="36" t="s">
        <v>7</v>
      </c>
      <c r="Q386" s="63">
        <f>I386*L386^2/O386</f>
        <v>7.589120000000001</v>
      </c>
      <c r="R386" s="63"/>
      <c r="S386" s="29" t="s">
        <v>57</v>
      </c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T386" s="23"/>
      <c r="BT386" s="29"/>
    </row>
    <row r="387" spans="1:72" ht="11.25">
      <c r="A387" s="29"/>
      <c r="B387" s="34"/>
      <c r="C387" s="29"/>
      <c r="D387" s="29" t="s">
        <v>129</v>
      </c>
      <c r="E387" s="29"/>
      <c r="F387" s="29"/>
      <c r="G387" s="29"/>
      <c r="I387" s="69">
        <f>+K370</f>
        <v>2.56</v>
      </c>
      <c r="J387" s="69"/>
      <c r="K387" s="36" t="s">
        <v>4</v>
      </c>
      <c r="L387" s="62">
        <f>+J378</f>
        <v>7.7</v>
      </c>
      <c r="M387" s="62"/>
      <c r="N387" s="27" t="s">
        <v>92</v>
      </c>
      <c r="O387" s="27">
        <v>30</v>
      </c>
      <c r="P387" s="36" t="s">
        <v>7</v>
      </c>
      <c r="Q387" s="63">
        <f>I387*L387^2/O387</f>
        <v>5.059413333333334</v>
      </c>
      <c r="R387" s="63"/>
      <c r="S387" s="29" t="s">
        <v>57</v>
      </c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T387" s="23"/>
      <c r="BT387" s="29"/>
    </row>
    <row r="388" spans="1:72" ht="11.25">
      <c r="A388" s="29"/>
      <c r="B388" s="34"/>
      <c r="C388" s="29"/>
      <c r="D388" s="29" t="s">
        <v>130</v>
      </c>
      <c r="E388" s="29"/>
      <c r="F388" s="29"/>
      <c r="G388" s="29"/>
      <c r="H388" s="29"/>
      <c r="I388" s="29"/>
      <c r="N388" s="63">
        <v>270</v>
      </c>
      <c r="O388" s="63"/>
      <c r="P388" s="39" t="s">
        <v>5</v>
      </c>
      <c r="Q388" s="29">
        <v>10</v>
      </c>
      <c r="R388" s="29" t="s">
        <v>64</v>
      </c>
      <c r="S388" s="63">
        <f>+K370</f>
        <v>2.56</v>
      </c>
      <c r="T388" s="63"/>
      <c r="U388" s="39" t="s">
        <v>4</v>
      </c>
      <c r="V388" s="63">
        <f>+J378</f>
        <v>7.7</v>
      </c>
      <c r="W388" s="63"/>
      <c r="X388" s="29" t="s">
        <v>23</v>
      </c>
      <c r="Y388" s="63">
        <v>300</v>
      </c>
      <c r="Z388" s="63"/>
      <c r="AA388" s="39" t="s">
        <v>7</v>
      </c>
      <c r="AB388" s="63">
        <f>(SQRT(N388)-Q388)*S388*V388^2/Y388</f>
        <v>3.2540510978938793</v>
      </c>
      <c r="AC388" s="63"/>
      <c r="AD388" s="29" t="s">
        <v>58</v>
      </c>
      <c r="AE388" s="29"/>
      <c r="AF388" s="29"/>
      <c r="AG388" s="29"/>
      <c r="AH388" s="29"/>
      <c r="AI388" s="29"/>
      <c r="AJ388" s="29"/>
      <c r="AT388" s="23"/>
      <c r="BT388" s="29"/>
    </row>
    <row r="389" spans="1:72" ht="11.25">
      <c r="A389" s="29"/>
      <c r="B389" s="34"/>
      <c r="C389" s="29"/>
      <c r="D389" s="29" t="s">
        <v>131</v>
      </c>
      <c r="E389" s="29"/>
      <c r="F389" s="39"/>
      <c r="G389" s="39"/>
      <c r="H389" s="39"/>
      <c r="I389" s="39"/>
      <c r="J389" s="39"/>
      <c r="K389" s="39"/>
      <c r="L389" s="39"/>
      <c r="Q389" s="27">
        <v>1</v>
      </c>
      <c r="R389" s="27" t="s">
        <v>132</v>
      </c>
      <c r="T389" s="36">
        <v>3</v>
      </c>
      <c r="U389" s="27" t="s">
        <v>6</v>
      </c>
      <c r="V389" s="29">
        <v>10</v>
      </c>
      <c r="W389" s="29" t="s">
        <v>133</v>
      </c>
      <c r="X389" s="63">
        <f>+J378</f>
        <v>7.7</v>
      </c>
      <c r="Y389" s="63"/>
      <c r="Z389" s="39" t="s">
        <v>7</v>
      </c>
      <c r="AA389" s="63">
        <f>(Q389-SQRT(T389/V389))*X389</f>
        <v>3.4825363072102213</v>
      </c>
      <c r="AB389" s="63"/>
      <c r="AC389" s="29" t="s">
        <v>15</v>
      </c>
      <c r="AD389" s="29"/>
      <c r="AE389" s="29"/>
      <c r="AF389" s="29"/>
      <c r="AG389" s="29"/>
      <c r="AH389" s="29"/>
      <c r="AI389" s="29"/>
      <c r="AJ389" s="29"/>
      <c r="AT389" s="23"/>
      <c r="BT389" s="29"/>
    </row>
    <row r="390" spans="1:72" ht="11.25">
      <c r="A390" s="29"/>
      <c r="B390" s="34"/>
      <c r="C390" s="29"/>
      <c r="D390" s="29" t="s">
        <v>134</v>
      </c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63">
        <v>0.00131</v>
      </c>
      <c r="P390" s="63"/>
      <c r="Q390" s="63"/>
      <c r="R390" s="39" t="s">
        <v>4</v>
      </c>
      <c r="S390" s="63">
        <f>+K370/100</f>
        <v>0.0256</v>
      </c>
      <c r="T390" s="63"/>
      <c r="U390" s="39" t="s">
        <v>4</v>
      </c>
      <c r="V390" s="63">
        <f>+J378*100</f>
        <v>770</v>
      </c>
      <c r="W390" s="63"/>
      <c r="X390" s="50" t="s">
        <v>46</v>
      </c>
      <c r="Y390" s="63">
        <f>+X372</f>
        <v>21000</v>
      </c>
      <c r="Z390" s="63"/>
      <c r="AA390" s="39" t="s">
        <v>4</v>
      </c>
      <c r="AB390" s="63">
        <f>+X373</f>
        <v>5645</v>
      </c>
      <c r="AC390" s="63"/>
      <c r="AD390" s="29" t="s">
        <v>31</v>
      </c>
      <c r="AE390" s="63">
        <f>+O390*S390*V390^4/(Y390*AB390)</f>
        <v>0.0994468246637142</v>
      </c>
      <c r="AF390" s="63"/>
      <c r="AG390" s="63"/>
      <c r="AH390" s="29" t="s">
        <v>51</v>
      </c>
      <c r="AI390" s="29"/>
      <c r="AJ390" s="29"/>
      <c r="AT390" s="23"/>
      <c r="BT390" s="29"/>
    </row>
    <row r="391" spans="1:72" ht="11.25">
      <c r="A391" s="29"/>
      <c r="B391" s="34"/>
      <c r="C391" s="29"/>
      <c r="D391" s="29" t="s">
        <v>135</v>
      </c>
      <c r="E391" s="29"/>
      <c r="F391" s="29"/>
      <c r="G391" s="29"/>
      <c r="H391" s="29"/>
      <c r="I391" s="29"/>
      <c r="J391" s="29"/>
      <c r="K391" s="29"/>
      <c r="L391" s="29"/>
      <c r="M391" s="63">
        <v>0.475</v>
      </c>
      <c r="N391" s="63"/>
      <c r="O391" s="39" t="s">
        <v>4</v>
      </c>
      <c r="P391" s="63">
        <f>+J378</f>
        <v>7.7</v>
      </c>
      <c r="Q391" s="63"/>
      <c r="R391" s="39" t="s">
        <v>7</v>
      </c>
      <c r="S391" s="63">
        <f>+M391*P391</f>
        <v>3.6574999999999998</v>
      </c>
      <c r="T391" s="63"/>
      <c r="U391" s="29" t="s">
        <v>15</v>
      </c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T391" s="23"/>
      <c r="BT391" s="29"/>
    </row>
    <row r="392" spans="1:72" ht="12" thickBot="1">
      <c r="A392" s="29"/>
      <c r="B392" s="44"/>
      <c r="C392" s="45"/>
      <c r="D392" s="45"/>
      <c r="E392" s="45"/>
      <c r="F392" s="45"/>
      <c r="G392" s="45"/>
      <c r="H392" s="45"/>
      <c r="I392" s="45"/>
      <c r="J392" s="43"/>
      <c r="K392" s="43"/>
      <c r="L392" s="43"/>
      <c r="M392" s="43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3"/>
      <c r="AL392" s="43"/>
      <c r="AM392" s="43"/>
      <c r="AT392" s="23"/>
      <c r="BT392" s="29"/>
    </row>
    <row r="393" spans="1:72" ht="12" thickTop="1">
      <c r="A393" s="29"/>
      <c r="B393" s="34"/>
      <c r="C393" s="29"/>
      <c r="D393" s="29"/>
      <c r="E393" s="29"/>
      <c r="F393" s="29"/>
      <c r="G393" s="29"/>
      <c r="H393" s="29"/>
      <c r="I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E393" s="29"/>
      <c r="AF393" s="29"/>
      <c r="AG393" s="29"/>
      <c r="AH393" s="29"/>
      <c r="AI393" s="29"/>
      <c r="AJ393" s="29"/>
      <c r="AL393" s="32"/>
      <c r="AM393" s="32"/>
      <c r="AN393" s="32"/>
      <c r="AO393" s="32"/>
      <c r="AP393" s="32"/>
      <c r="AQ393" s="32"/>
      <c r="AR393" s="32"/>
      <c r="AS393" s="32"/>
      <c r="AT393" s="33"/>
      <c r="BT393" s="29"/>
    </row>
    <row r="394" spans="1:72" ht="11.25">
      <c r="A394" s="29"/>
      <c r="B394" s="34"/>
      <c r="C394" s="29"/>
      <c r="D394" s="29"/>
      <c r="E394" s="29"/>
      <c r="F394" s="29"/>
      <c r="G394" s="29"/>
      <c r="H394" s="29"/>
      <c r="I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T394" s="23"/>
      <c r="BT394" s="29"/>
    </row>
    <row r="395" spans="1:72" ht="11.25">
      <c r="A395" s="29"/>
      <c r="B395" s="34"/>
      <c r="C395" s="29"/>
      <c r="D395" s="29"/>
      <c r="E395" s="29"/>
      <c r="F395" s="29"/>
      <c r="G395" s="29"/>
      <c r="H395" s="29"/>
      <c r="I395" s="29"/>
      <c r="N395" s="29"/>
      <c r="O395" s="29"/>
      <c r="P395" s="29"/>
      <c r="Q395" s="27" t="s">
        <v>77</v>
      </c>
      <c r="R395" s="65">
        <v>25</v>
      </c>
      <c r="S395" s="65"/>
      <c r="T395" s="27" t="s">
        <v>55</v>
      </c>
      <c r="U395" s="29"/>
      <c r="V395" s="29"/>
      <c r="W395" s="29"/>
      <c r="AT395" s="23"/>
      <c r="BT395" s="29"/>
    </row>
    <row r="396" spans="1:72" ht="11.25">
      <c r="A396" s="29"/>
      <c r="B396" s="34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AT396" s="23"/>
      <c r="BT396" s="29"/>
    </row>
    <row r="397" spans="1:72" ht="11.25">
      <c r="A397" s="29"/>
      <c r="B397" s="34"/>
      <c r="C397" s="29"/>
      <c r="D397" s="29"/>
      <c r="E397" s="29"/>
      <c r="R397" s="29"/>
      <c r="S397" s="29"/>
      <c r="T397" s="29"/>
      <c r="U397" s="29"/>
      <c r="V397" s="29"/>
      <c r="Y397" s="61" t="s">
        <v>251</v>
      </c>
      <c r="AG397" s="29"/>
      <c r="AH397" s="29"/>
      <c r="AI397" s="29"/>
      <c r="AJ397" s="29"/>
      <c r="AT397" s="23"/>
      <c r="BT397" s="29"/>
    </row>
    <row r="398" spans="1:72" ht="12" thickBot="1">
      <c r="A398" s="29"/>
      <c r="B398" s="34"/>
      <c r="C398" s="29"/>
      <c r="D398" s="29"/>
      <c r="E398" s="29"/>
      <c r="F398" s="45"/>
      <c r="G398" s="45"/>
      <c r="H398" s="45"/>
      <c r="I398" s="45"/>
      <c r="J398" s="45"/>
      <c r="K398" s="45"/>
      <c r="L398" s="45"/>
      <c r="M398" s="45"/>
      <c r="N398" s="45"/>
      <c r="O398" s="66" t="s">
        <v>42</v>
      </c>
      <c r="P398" s="66"/>
      <c r="Q398" s="45"/>
      <c r="R398" s="45"/>
      <c r="S398" s="45"/>
      <c r="T398" s="29"/>
      <c r="U398" s="29"/>
      <c r="V398" s="29"/>
      <c r="X398" s="29" t="s">
        <v>49</v>
      </c>
      <c r="Y398" s="65">
        <v>21000</v>
      </c>
      <c r="Z398" s="65"/>
      <c r="AA398" s="29" t="s">
        <v>53</v>
      </c>
      <c r="AC398" s="29"/>
      <c r="AD398" s="29"/>
      <c r="AE398" s="29"/>
      <c r="AF398" s="29"/>
      <c r="AK398" s="29"/>
      <c r="AT398" s="23"/>
      <c r="BT398" s="29"/>
    </row>
    <row r="399" spans="1:72" ht="12.75" thickBot="1" thickTop="1">
      <c r="A399" s="29"/>
      <c r="B399" s="34"/>
      <c r="C399" s="29"/>
      <c r="D399" s="29"/>
      <c r="E399" s="29" t="s">
        <v>41</v>
      </c>
      <c r="F399" s="36"/>
      <c r="R399" s="29"/>
      <c r="S399" s="29"/>
      <c r="T399" s="29" t="s">
        <v>32</v>
      </c>
      <c r="U399" s="29"/>
      <c r="V399" s="29"/>
      <c r="W399" s="29"/>
      <c r="X399" s="29" t="s">
        <v>50</v>
      </c>
      <c r="Y399" s="65">
        <v>5645</v>
      </c>
      <c r="Z399" s="65"/>
      <c r="AA399" s="29" t="s">
        <v>54</v>
      </c>
      <c r="AC399" s="29"/>
      <c r="AD399" s="29"/>
      <c r="AE399" s="29"/>
      <c r="AF399" s="29"/>
      <c r="AK399" s="29"/>
      <c r="AT399" s="23"/>
      <c r="BT399" s="29"/>
    </row>
    <row r="400" spans="1:72" ht="12" thickTop="1">
      <c r="A400" s="29"/>
      <c r="B400" s="34"/>
      <c r="C400" s="29"/>
      <c r="D400" s="29"/>
      <c r="E400" s="37"/>
      <c r="F400" s="37"/>
      <c r="I400" s="29"/>
      <c r="N400" s="29"/>
      <c r="O400" s="37"/>
      <c r="P400" s="37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T400" s="23"/>
      <c r="BT400" s="29"/>
    </row>
    <row r="401" spans="1:72" ht="11.25">
      <c r="A401" s="29"/>
      <c r="B401" s="34"/>
      <c r="C401" s="29"/>
      <c r="D401" s="29"/>
      <c r="E401" s="29"/>
      <c r="I401" s="29" t="s">
        <v>25</v>
      </c>
      <c r="J401" s="65">
        <v>7.7</v>
      </c>
      <c r="K401" s="65"/>
      <c r="L401" s="27" t="s">
        <v>15</v>
      </c>
      <c r="P401" s="54" t="s">
        <v>26</v>
      </c>
      <c r="Q401" s="65">
        <v>1.5</v>
      </c>
      <c r="R401" s="65"/>
      <c r="S401" s="27" t="s">
        <v>15</v>
      </c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T401" s="23"/>
      <c r="BT401" s="29"/>
    </row>
    <row r="402" spans="1:72" ht="11.25">
      <c r="A402" s="29"/>
      <c r="B402" s="34"/>
      <c r="C402" s="29"/>
      <c r="D402" s="29"/>
      <c r="E402" s="29"/>
      <c r="F402" s="29"/>
      <c r="G402" s="29"/>
      <c r="H402" s="29"/>
      <c r="I402" s="29"/>
      <c r="J402" s="29"/>
      <c r="N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T402" s="23"/>
      <c r="BT402" s="29"/>
    </row>
    <row r="403" spans="1:72" ht="11.25">
      <c r="A403" s="29"/>
      <c r="B403" s="34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38" t="s">
        <v>197</v>
      </c>
      <c r="AE403" s="29"/>
      <c r="AF403" s="29"/>
      <c r="AG403" s="29"/>
      <c r="AH403" s="29"/>
      <c r="AI403" s="29"/>
      <c r="AJ403" s="29"/>
      <c r="AT403" s="23"/>
      <c r="BT403" s="29"/>
    </row>
    <row r="404" spans="1:72" ht="11.25">
      <c r="A404" s="29"/>
      <c r="B404" s="34"/>
      <c r="C404" s="29"/>
      <c r="D404" s="29"/>
      <c r="E404" s="29" t="s">
        <v>35</v>
      </c>
      <c r="F404" s="29"/>
      <c r="G404" s="29"/>
      <c r="H404" s="29"/>
      <c r="I404" s="29"/>
      <c r="J404" s="29"/>
      <c r="K404" s="29"/>
      <c r="L404" s="29"/>
      <c r="M404" s="29"/>
      <c r="N404" s="29"/>
      <c r="O404" s="29" t="s">
        <v>36</v>
      </c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T404" s="23"/>
      <c r="BT404" s="29"/>
    </row>
    <row r="405" spans="1:72" ht="11.25">
      <c r="A405" s="29"/>
      <c r="B405" s="34"/>
      <c r="C405" s="29"/>
      <c r="D405" s="29"/>
      <c r="E405" s="29"/>
      <c r="F405" s="29"/>
      <c r="G405" s="29" t="s">
        <v>43</v>
      </c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T405" s="23"/>
      <c r="BT405" s="29"/>
    </row>
    <row r="406" spans="1:72" ht="11.25">
      <c r="A406" s="29"/>
      <c r="B406" s="34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T406" s="23"/>
      <c r="BT406" s="29"/>
    </row>
    <row r="407" spans="1:72" ht="11.25">
      <c r="A407" s="29"/>
      <c r="B407" s="34"/>
      <c r="C407" s="29"/>
      <c r="D407" s="29" t="s">
        <v>136</v>
      </c>
      <c r="E407" s="29"/>
      <c r="F407" s="29"/>
      <c r="G407" s="29"/>
      <c r="H407" s="29"/>
      <c r="I407" s="63">
        <f>+R395</f>
        <v>25</v>
      </c>
      <c r="J407" s="63"/>
      <c r="K407" s="36" t="s">
        <v>4</v>
      </c>
      <c r="L407" s="62">
        <f>+Q401</f>
        <v>1.5</v>
      </c>
      <c r="M407" s="62"/>
      <c r="N407" s="29" t="s">
        <v>6</v>
      </c>
      <c r="O407" s="63">
        <f>+J401</f>
        <v>7.7</v>
      </c>
      <c r="P407" s="63"/>
      <c r="Q407" s="39" t="s">
        <v>7</v>
      </c>
      <c r="R407" s="63">
        <f>+I407*L407/O407</f>
        <v>4.87012987012987</v>
      </c>
      <c r="S407" s="63"/>
      <c r="T407" s="29" t="s">
        <v>55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T407" s="23"/>
      <c r="BT407" s="29"/>
    </row>
    <row r="408" spans="1:72" ht="11.25">
      <c r="A408" s="29"/>
      <c r="B408" s="34"/>
      <c r="C408" s="29"/>
      <c r="D408" s="29" t="s">
        <v>137</v>
      </c>
      <c r="E408" s="29"/>
      <c r="F408" s="29"/>
      <c r="G408" s="29"/>
      <c r="H408" s="29"/>
      <c r="I408" s="29"/>
      <c r="J408" s="62">
        <f>+R395</f>
        <v>25</v>
      </c>
      <c r="K408" s="62"/>
      <c r="L408" s="27" t="s">
        <v>28</v>
      </c>
      <c r="M408" s="27">
        <v>1</v>
      </c>
      <c r="N408" s="39" t="s">
        <v>12</v>
      </c>
      <c r="O408" s="63">
        <f>+Q401</f>
        <v>1.5</v>
      </c>
      <c r="P408" s="63"/>
      <c r="Q408" s="29" t="s">
        <v>6</v>
      </c>
      <c r="R408" s="63">
        <f>+J401</f>
        <v>7.7</v>
      </c>
      <c r="S408" s="63"/>
      <c r="T408" s="29" t="s">
        <v>31</v>
      </c>
      <c r="U408" s="63">
        <f>+J408*(M408+O408/R408)</f>
        <v>29.87012987012987</v>
      </c>
      <c r="V408" s="63"/>
      <c r="W408" s="29" t="s">
        <v>55</v>
      </c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T408" s="23"/>
      <c r="BT408" s="29"/>
    </row>
    <row r="409" spans="1:72" ht="11.25">
      <c r="A409" s="29"/>
      <c r="B409" s="34"/>
      <c r="C409" s="29"/>
      <c r="D409" s="29" t="s">
        <v>138</v>
      </c>
      <c r="E409" s="29"/>
      <c r="F409" s="29"/>
      <c r="G409" s="29"/>
      <c r="H409" s="63">
        <f>+R395</f>
        <v>25</v>
      </c>
      <c r="I409" s="63"/>
      <c r="J409" s="36" t="s">
        <v>4</v>
      </c>
      <c r="K409" s="62">
        <f>+Q401</f>
        <v>1.5</v>
      </c>
      <c r="L409" s="62"/>
      <c r="M409" s="36" t="s">
        <v>7</v>
      </c>
      <c r="N409" s="63">
        <f>+H409*K409</f>
        <v>37.5</v>
      </c>
      <c r="O409" s="63"/>
      <c r="P409" s="29" t="s">
        <v>139</v>
      </c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T409" s="23"/>
      <c r="BT409" s="29"/>
    </row>
    <row r="410" spans="1:72" ht="11.25">
      <c r="A410" s="29"/>
      <c r="B410" s="34"/>
      <c r="C410" s="29"/>
      <c r="D410" s="29" t="s">
        <v>143</v>
      </c>
      <c r="E410" s="29"/>
      <c r="F410" s="29"/>
      <c r="G410" s="29"/>
      <c r="H410" s="29"/>
      <c r="I410" s="29"/>
      <c r="N410" s="29"/>
      <c r="O410" s="29"/>
      <c r="P410" s="29"/>
      <c r="Q410" s="29"/>
      <c r="R410" s="29"/>
      <c r="S410" s="29"/>
      <c r="T410" s="29"/>
      <c r="AT410" s="23"/>
      <c r="BT410" s="29"/>
    </row>
    <row r="411" spans="1:72" ht="11.25">
      <c r="A411" s="29"/>
      <c r="B411" s="34"/>
      <c r="C411" s="29"/>
      <c r="D411" s="29" t="s">
        <v>142</v>
      </c>
      <c r="E411" s="29"/>
      <c r="F411" s="29">
        <v>3</v>
      </c>
      <c r="G411" s="39" t="s">
        <v>4</v>
      </c>
      <c r="H411" s="63">
        <f>+R395</f>
        <v>25</v>
      </c>
      <c r="I411" s="63"/>
      <c r="J411" s="39" t="s">
        <v>4</v>
      </c>
      <c r="K411" s="63">
        <f>+J401*100</f>
        <v>770</v>
      </c>
      <c r="L411" s="63"/>
      <c r="M411" s="50" t="s">
        <v>140</v>
      </c>
      <c r="N411" s="63">
        <f>+Q401*100</f>
        <v>150</v>
      </c>
      <c r="O411" s="63"/>
      <c r="P411" s="29" t="s">
        <v>29</v>
      </c>
      <c r="Q411" s="29">
        <v>27</v>
      </c>
      <c r="R411" s="39" t="s">
        <v>4</v>
      </c>
      <c r="S411" s="63">
        <f>+Y398</f>
        <v>21000</v>
      </c>
      <c r="T411" s="63"/>
      <c r="U411" s="39" t="s">
        <v>4</v>
      </c>
      <c r="V411" s="62">
        <f>+Y399</f>
        <v>5645</v>
      </c>
      <c r="W411" s="62"/>
      <c r="X411" s="36" t="s">
        <v>4</v>
      </c>
      <c r="Y411" s="62">
        <f>+J401*100</f>
        <v>770</v>
      </c>
      <c r="Z411" s="62"/>
      <c r="AA411" s="27" t="s">
        <v>31</v>
      </c>
      <c r="AB411" s="64">
        <f>-SQRT(F411)*H411*K411^3*N411/(Q411*S411*V411*Y411)</f>
        <v>-1.2031681871951898</v>
      </c>
      <c r="AC411" s="64"/>
      <c r="AD411" s="64"/>
      <c r="AE411" s="27" t="s">
        <v>141</v>
      </c>
      <c r="AH411" s="29"/>
      <c r="AT411" s="23"/>
      <c r="BT411" s="29"/>
    </row>
    <row r="412" spans="1:72" ht="11.25">
      <c r="A412" s="29"/>
      <c r="B412" s="34"/>
      <c r="C412" s="29"/>
      <c r="D412" s="29" t="s">
        <v>144</v>
      </c>
      <c r="O412" s="47">
        <v>3</v>
      </c>
      <c r="P412" s="27" t="s">
        <v>6</v>
      </c>
      <c r="Q412" s="27">
        <v>3</v>
      </c>
      <c r="R412" s="36" t="s">
        <v>4</v>
      </c>
      <c r="S412" s="62">
        <f>+J401</f>
        <v>7.7</v>
      </c>
      <c r="T412" s="62"/>
      <c r="U412" s="27" t="s">
        <v>7</v>
      </c>
      <c r="V412" s="62">
        <f>SQRT(O412)/Q412*S412</f>
        <v>4.445597072760118</v>
      </c>
      <c r="W412" s="62"/>
      <c r="X412" s="27" t="s">
        <v>15</v>
      </c>
      <c r="AT412" s="23"/>
      <c r="BT412" s="29"/>
    </row>
    <row r="413" spans="1:72" ht="11.25">
      <c r="A413" s="29"/>
      <c r="B413" s="34"/>
      <c r="C413" s="29"/>
      <c r="D413" s="29" t="s">
        <v>200</v>
      </c>
      <c r="E413" s="29"/>
      <c r="F413" s="29"/>
      <c r="G413" s="29"/>
      <c r="H413" s="29"/>
      <c r="I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T413" s="23"/>
      <c r="BT413" s="29"/>
    </row>
    <row r="414" spans="1:72" ht="11.25">
      <c r="A414" s="29"/>
      <c r="B414" s="34"/>
      <c r="C414" s="29"/>
      <c r="D414" s="29" t="s">
        <v>145</v>
      </c>
      <c r="E414" s="63">
        <f>+R395</f>
        <v>25</v>
      </c>
      <c r="F414" s="63"/>
      <c r="G414" s="29" t="s">
        <v>4</v>
      </c>
      <c r="H414" s="63">
        <f>+J401*100</f>
        <v>770</v>
      </c>
      <c r="I414" s="63"/>
      <c r="J414" s="48" t="s">
        <v>33</v>
      </c>
      <c r="K414" s="27">
        <v>3</v>
      </c>
      <c r="L414" s="36" t="s">
        <v>4</v>
      </c>
      <c r="M414" s="63">
        <f>+Y398</f>
        <v>21000</v>
      </c>
      <c r="N414" s="63"/>
      <c r="O414" s="39" t="s">
        <v>4</v>
      </c>
      <c r="P414" s="63">
        <f>+Y399</f>
        <v>5645</v>
      </c>
      <c r="Q414" s="63"/>
      <c r="R414" s="29" t="s">
        <v>146</v>
      </c>
      <c r="S414" s="29"/>
      <c r="T414" s="63">
        <f>+Q401*100</f>
        <v>150</v>
      </c>
      <c r="U414" s="63"/>
      <c r="V414" s="29" t="s">
        <v>6</v>
      </c>
      <c r="W414" s="63">
        <f>+J401*100</f>
        <v>770</v>
      </c>
      <c r="X414" s="63"/>
      <c r="Y414" s="29" t="s">
        <v>147</v>
      </c>
      <c r="Z414" s="29"/>
      <c r="AA414" s="63">
        <f>+T414</f>
        <v>150</v>
      </c>
      <c r="AB414" s="63"/>
      <c r="AC414" s="29" t="s">
        <v>6</v>
      </c>
      <c r="AD414" s="63">
        <f>+W414</f>
        <v>770</v>
      </c>
      <c r="AE414" s="63"/>
      <c r="AF414" s="29" t="s">
        <v>148</v>
      </c>
      <c r="AG414" s="29"/>
      <c r="AH414" s="63">
        <f>+E414*H414^3/(K414*M414*P414)*((T414/W414)^2+(AA414/AD414)^3)</f>
        <v>1.4551436163482225</v>
      </c>
      <c r="AI414" s="63"/>
      <c r="AJ414" s="63"/>
      <c r="AK414" s="27" t="s">
        <v>51</v>
      </c>
      <c r="AT414" s="23"/>
      <c r="BT414" s="29"/>
    </row>
    <row r="415" spans="1:72" ht="12" thickBot="1">
      <c r="A415" s="29"/>
      <c r="B415" s="44"/>
      <c r="C415" s="45"/>
      <c r="D415" s="45"/>
      <c r="E415" s="45"/>
      <c r="F415" s="45"/>
      <c r="G415" s="45"/>
      <c r="H415" s="45"/>
      <c r="I415" s="45"/>
      <c r="J415" s="43"/>
      <c r="K415" s="43"/>
      <c r="L415" s="43"/>
      <c r="M415" s="43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3"/>
      <c r="AL415" s="43"/>
      <c r="AM415" s="43"/>
      <c r="AN415" s="43"/>
      <c r="AO415" s="43"/>
      <c r="AP415" s="43"/>
      <c r="AQ415" s="43"/>
      <c r="AR415" s="43"/>
      <c r="AS415" s="43"/>
      <c r="AT415" s="49"/>
      <c r="BT415" s="29"/>
    </row>
    <row r="416" spans="1:72" ht="12" thickTop="1">
      <c r="A416" s="29"/>
      <c r="B416" s="34"/>
      <c r="C416" s="29"/>
      <c r="D416" s="29"/>
      <c r="E416" s="29"/>
      <c r="F416" s="29"/>
      <c r="G416" s="29"/>
      <c r="H416" s="29"/>
      <c r="I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E416" s="29"/>
      <c r="AF416" s="29"/>
      <c r="AG416" s="29"/>
      <c r="AH416" s="29"/>
      <c r="AI416" s="29"/>
      <c r="AJ416" s="29"/>
      <c r="AT416" s="23"/>
      <c r="BT416" s="29"/>
    </row>
    <row r="417" spans="1:72" ht="11.25">
      <c r="A417" s="29"/>
      <c r="B417" s="34"/>
      <c r="C417" s="29"/>
      <c r="D417" s="29"/>
      <c r="E417" s="29"/>
      <c r="F417" s="29"/>
      <c r="G417" s="29"/>
      <c r="H417" s="29"/>
      <c r="I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T417" s="23"/>
      <c r="BT417" s="29"/>
    </row>
    <row r="418" spans="1:72" ht="11.25">
      <c r="A418" s="29"/>
      <c r="B418" s="34"/>
      <c r="C418" s="29"/>
      <c r="D418" s="29"/>
      <c r="E418" s="29"/>
      <c r="F418" s="29"/>
      <c r="G418" s="29"/>
      <c r="H418" s="29"/>
      <c r="I418" s="29"/>
      <c r="J418" s="27" t="s">
        <v>24</v>
      </c>
      <c r="K418" s="65">
        <v>2.56</v>
      </c>
      <c r="L418" s="65"/>
      <c r="M418" s="27" t="s">
        <v>69</v>
      </c>
      <c r="N418" s="29"/>
      <c r="O418" s="29"/>
      <c r="P418" s="29"/>
      <c r="U418" s="29"/>
      <c r="V418" s="29"/>
      <c r="W418" s="29"/>
      <c r="AT418" s="23"/>
      <c r="BT418" s="29"/>
    </row>
    <row r="419" spans="1:72" ht="11.25">
      <c r="A419" s="29"/>
      <c r="B419" s="34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AT419" s="23"/>
      <c r="BT419" s="29"/>
    </row>
    <row r="420" spans="1:72" ht="11.25">
      <c r="A420" s="29"/>
      <c r="B420" s="34"/>
      <c r="C420" s="29"/>
      <c r="D420" s="29"/>
      <c r="E420" s="29"/>
      <c r="O420" s="67" t="s">
        <v>42</v>
      </c>
      <c r="P420" s="67"/>
      <c r="R420" s="29"/>
      <c r="S420" s="29"/>
      <c r="T420" s="29"/>
      <c r="U420" s="29"/>
      <c r="V420" s="29"/>
      <c r="Y420" s="61" t="s">
        <v>251</v>
      </c>
      <c r="AG420" s="29"/>
      <c r="AH420" s="29"/>
      <c r="AI420" s="29"/>
      <c r="AJ420" s="29"/>
      <c r="AT420" s="23"/>
      <c r="BT420" s="29"/>
    </row>
    <row r="421" spans="1:72" ht="12" thickBot="1">
      <c r="A421" s="29"/>
      <c r="B421" s="34"/>
      <c r="C421" s="29"/>
      <c r="D421" s="29"/>
      <c r="E421" s="29"/>
      <c r="F421" s="57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35"/>
      <c r="T421" s="29"/>
      <c r="U421" s="29"/>
      <c r="V421" s="29"/>
      <c r="X421" s="29" t="s">
        <v>49</v>
      </c>
      <c r="Y421" s="65">
        <v>21000</v>
      </c>
      <c r="Z421" s="65"/>
      <c r="AA421" s="29" t="s">
        <v>53</v>
      </c>
      <c r="AC421" s="29"/>
      <c r="AD421" s="29"/>
      <c r="AE421" s="29"/>
      <c r="AF421" s="29"/>
      <c r="AK421" s="29"/>
      <c r="AT421" s="23"/>
      <c r="BT421" s="29"/>
    </row>
    <row r="422" spans="1:72" ht="12.75" thickBot="1" thickTop="1">
      <c r="A422" s="29"/>
      <c r="B422" s="34"/>
      <c r="C422" s="29"/>
      <c r="D422" s="29"/>
      <c r="E422" s="29" t="s">
        <v>41</v>
      </c>
      <c r="F422" s="36"/>
      <c r="R422" s="29"/>
      <c r="S422" s="29"/>
      <c r="T422" s="29" t="s">
        <v>32</v>
      </c>
      <c r="U422" s="29"/>
      <c r="V422" s="29"/>
      <c r="W422" s="29"/>
      <c r="X422" s="29" t="s">
        <v>50</v>
      </c>
      <c r="Y422" s="65">
        <v>5645</v>
      </c>
      <c r="Z422" s="65"/>
      <c r="AA422" s="29" t="s">
        <v>54</v>
      </c>
      <c r="AC422" s="29"/>
      <c r="AD422" s="29"/>
      <c r="AE422" s="29"/>
      <c r="AF422" s="29"/>
      <c r="AK422" s="29"/>
      <c r="AT422" s="23"/>
      <c r="BT422" s="29"/>
    </row>
    <row r="423" spans="1:72" ht="12" thickTop="1">
      <c r="A423" s="29"/>
      <c r="B423" s="34"/>
      <c r="C423" s="29"/>
      <c r="D423" s="29"/>
      <c r="E423" s="37"/>
      <c r="F423" s="37"/>
      <c r="I423" s="29"/>
      <c r="N423" s="29"/>
      <c r="O423" s="37"/>
      <c r="P423" s="37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T423" s="23"/>
      <c r="BT423" s="29"/>
    </row>
    <row r="424" spans="1:72" ht="11.25">
      <c r="A424" s="29"/>
      <c r="B424" s="34"/>
      <c r="C424" s="29"/>
      <c r="D424" s="29"/>
      <c r="E424" s="29"/>
      <c r="I424" s="29" t="s">
        <v>25</v>
      </c>
      <c r="J424" s="65">
        <v>7.7</v>
      </c>
      <c r="K424" s="65"/>
      <c r="L424" s="27" t="s">
        <v>15</v>
      </c>
      <c r="P424" s="54" t="s">
        <v>26</v>
      </c>
      <c r="Q424" s="65">
        <v>1.5</v>
      </c>
      <c r="R424" s="65"/>
      <c r="S424" s="27" t="s">
        <v>15</v>
      </c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T424" s="23"/>
      <c r="BT424" s="29"/>
    </row>
    <row r="425" spans="1:72" ht="11.25">
      <c r="A425" s="29"/>
      <c r="B425" s="34"/>
      <c r="C425" s="29"/>
      <c r="D425" s="29"/>
      <c r="E425" s="29"/>
      <c r="F425" s="29"/>
      <c r="G425" s="29"/>
      <c r="H425" s="29"/>
      <c r="I425" s="29"/>
      <c r="J425" s="29"/>
      <c r="N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T425" s="23"/>
      <c r="BT425" s="29"/>
    </row>
    <row r="426" spans="1:72" ht="11.25">
      <c r="A426" s="29"/>
      <c r="B426" s="34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38" t="s">
        <v>197</v>
      </c>
      <c r="AF426" s="29"/>
      <c r="AG426" s="29"/>
      <c r="AH426" s="29"/>
      <c r="AI426" s="29"/>
      <c r="AJ426" s="29"/>
      <c r="AT426" s="23"/>
      <c r="BT426" s="29"/>
    </row>
    <row r="427" spans="1:72" ht="11.25">
      <c r="A427" s="29"/>
      <c r="B427" s="34"/>
      <c r="C427" s="29"/>
      <c r="D427" s="29"/>
      <c r="E427" s="29" t="s">
        <v>35</v>
      </c>
      <c r="F427" s="29"/>
      <c r="G427" s="29"/>
      <c r="H427" s="29"/>
      <c r="I427" s="29"/>
      <c r="J427" s="29"/>
      <c r="K427" s="29"/>
      <c r="L427" s="29"/>
      <c r="M427" s="29"/>
      <c r="N427" s="29"/>
      <c r="O427" s="29" t="s">
        <v>36</v>
      </c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T427" s="23"/>
      <c r="BT427" s="29"/>
    </row>
    <row r="428" spans="1:72" ht="11.25">
      <c r="A428" s="29"/>
      <c r="B428" s="34"/>
      <c r="C428" s="29"/>
      <c r="D428" s="29"/>
      <c r="E428" s="29"/>
      <c r="F428" s="29"/>
      <c r="G428" s="29" t="s">
        <v>43</v>
      </c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T428" s="23"/>
      <c r="BT428" s="29"/>
    </row>
    <row r="429" spans="1:72" ht="11.25">
      <c r="A429" s="29"/>
      <c r="B429" s="34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T429" s="23"/>
      <c r="BT429" s="29"/>
    </row>
    <row r="430" spans="1:72" ht="11.25">
      <c r="A430" s="29"/>
      <c r="B430" s="34"/>
      <c r="C430" s="29"/>
      <c r="D430" s="29" t="s">
        <v>149</v>
      </c>
      <c r="E430" s="29"/>
      <c r="F430" s="29"/>
      <c r="G430" s="29"/>
      <c r="H430" s="29"/>
      <c r="I430" s="29"/>
      <c r="M430" s="62">
        <f>+K418</f>
        <v>2.56</v>
      </c>
      <c r="N430" s="62"/>
      <c r="O430" s="39" t="s">
        <v>4</v>
      </c>
      <c r="P430" s="63">
        <f>+J424</f>
        <v>7.7</v>
      </c>
      <c r="Q430" s="63"/>
      <c r="R430" s="29" t="s">
        <v>6</v>
      </c>
      <c r="S430" s="29">
        <v>2</v>
      </c>
      <c r="T430" s="29" t="s">
        <v>28</v>
      </c>
      <c r="U430" s="29">
        <v>1</v>
      </c>
      <c r="V430" s="29" t="s">
        <v>150</v>
      </c>
      <c r="W430" s="63">
        <f>+Q424</f>
        <v>1.5</v>
      </c>
      <c r="X430" s="63"/>
      <c r="Y430" s="29" t="s">
        <v>6</v>
      </c>
      <c r="Z430" s="63">
        <f>+J424</f>
        <v>7.7</v>
      </c>
      <c r="AA430" s="63"/>
      <c r="AB430" s="29" t="s">
        <v>151</v>
      </c>
      <c r="AC430" s="29"/>
      <c r="AD430" s="63">
        <f>+M430*P430/S430*(U430-(W430/Z430)^2)</f>
        <v>9.481974025974026</v>
      </c>
      <c r="AE430" s="63"/>
      <c r="AF430" s="29" t="s">
        <v>55</v>
      </c>
      <c r="AG430" s="29"/>
      <c r="AH430" s="29"/>
      <c r="AI430" s="29"/>
      <c r="AJ430" s="29"/>
      <c r="AT430" s="23"/>
      <c r="BT430" s="29"/>
    </row>
    <row r="431" spans="1:72" ht="11.25">
      <c r="A431" s="29"/>
      <c r="B431" s="34"/>
      <c r="C431" s="29"/>
      <c r="D431" s="29" t="s">
        <v>152</v>
      </c>
      <c r="E431" s="29"/>
      <c r="F431" s="29"/>
      <c r="G431" s="29"/>
      <c r="H431" s="29"/>
      <c r="I431" s="29"/>
      <c r="M431" s="62">
        <f>+M430</f>
        <v>2.56</v>
      </c>
      <c r="N431" s="62"/>
      <c r="O431" s="39" t="s">
        <v>4</v>
      </c>
      <c r="P431" s="63">
        <f>+P430</f>
        <v>7.7</v>
      </c>
      <c r="Q431" s="63"/>
      <c r="R431" s="29" t="s">
        <v>6</v>
      </c>
      <c r="S431" s="29">
        <v>2</v>
      </c>
      <c r="T431" s="29" t="s">
        <v>28</v>
      </c>
      <c r="U431" s="29">
        <v>1</v>
      </c>
      <c r="V431" s="29" t="s">
        <v>153</v>
      </c>
      <c r="W431" s="63">
        <f>+W430</f>
        <v>1.5</v>
      </c>
      <c r="X431" s="63"/>
      <c r="Y431" s="29" t="s">
        <v>6</v>
      </c>
      <c r="Z431" s="63">
        <f>+Z430</f>
        <v>7.7</v>
      </c>
      <c r="AA431" s="63"/>
      <c r="AB431" s="29" t="s">
        <v>151</v>
      </c>
      <c r="AC431" s="29"/>
      <c r="AD431" s="63">
        <f>+M431*P431/S431*(U431+(W431/Z431)^2)</f>
        <v>10.230025974025974</v>
      </c>
      <c r="AE431" s="63"/>
      <c r="AF431" s="29" t="s">
        <v>55</v>
      </c>
      <c r="AG431" s="29"/>
      <c r="AH431" s="29"/>
      <c r="AI431" s="29"/>
      <c r="AJ431" s="29"/>
      <c r="AT431" s="23"/>
      <c r="BT431" s="29"/>
    </row>
    <row r="432" spans="1:72" ht="11.25">
      <c r="A432" s="29"/>
      <c r="B432" s="34"/>
      <c r="C432" s="29"/>
      <c r="D432" s="29" t="s">
        <v>157</v>
      </c>
      <c r="E432" s="29"/>
      <c r="F432" s="29"/>
      <c r="G432" s="29"/>
      <c r="H432" s="29"/>
      <c r="I432" s="29"/>
      <c r="M432" s="36"/>
      <c r="N432" s="36"/>
      <c r="O432" s="39"/>
      <c r="P432" s="39"/>
      <c r="Q432" s="39"/>
      <c r="R432" s="29"/>
      <c r="S432" s="29"/>
      <c r="T432" s="29"/>
      <c r="U432" s="29"/>
      <c r="V432" s="29"/>
      <c r="W432" s="39"/>
      <c r="X432" s="39"/>
      <c r="Y432" s="29"/>
      <c r="Z432" s="39"/>
      <c r="AA432" s="39"/>
      <c r="AB432" s="29"/>
      <c r="AC432" s="29"/>
      <c r="AD432" s="39"/>
      <c r="AE432" s="39"/>
      <c r="AF432" s="29"/>
      <c r="AG432" s="29"/>
      <c r="AH432" s="29"/>
      <c r="AI432" s="29"/>
      <c r="AJ432" s="29"/>
      <c r="AT432" s="23"/>
      <c r="BT432" s="29"/>
    </row>
    <row r="433" spans="1:72" ht="11.25">
      <c r="A433" s="29"/>
      <c r="B433" s="34"/>
      <c r="C433" s="29"/>
      <c r="D433" s="29" t="s">
        <v>154</v>
      </c>
      <c r="E433" s="29"/>
      <c r="F433" s="29"/>
      <c r="G433" s="29"/>
      <c r="H433" s="29"/>
      <c r="I433" s="29"/>
      <c r="M433" s="62">
        <f>+K418</f>
        <v>2.56</v>
      </c>
      <c r="N433" s="62"/>
      <c r="O433" s="29" t="s">
        <v>4</v>
      </c>
      <c r="P433" s="63">
        <f>+J424</f>
        <v>7.7</v>
      </c>
      <c r="Q433" s="63"/>
      <c r="R433" s="29" t="s">
        <v>23</v>
      </c>
      <c r="S433" s="29">
        <v>8</v>
      </c>
      <c r="T433" s="29" t="s">
        <v>28</v>
      </c>
      <c r="U433" s="29">
        <v>1</v>
      </c>
      <c r="V433" s="29" t="s">
        <v>150</v>
      </c>
      <c r="W433" s="63">
        <f>+Q424</f>
        <v>1.5</v>
      </c>
      <c r="X433" s="63"/>
      <c r="Y433" s="29" t="s">
        <v>6</v>
      </c>
      <c r="Z433" s="63">
        <f>+J424</f>
        <v>7.7</v>
      </c>
      <c r="AA433" s="63"/>
      <c r="AB433" s="29" t="s">
        <v>155</v>
      </c>
      <c r="AC433" s="29"/>
      <c r="AD433" s="63">
        <f>+M433*P433^2/S433*(U433-(W433/Z433)^2)^2</f>
        <v>17.560123326024627</v>
      </c>
      <c r="AE433" s="63"/>
      <c r="AF433" s="29" t="s">
        <v>156</v>
      </c>
      <c r="AG433" s="29"/>
      <c r="AH433" s="29"/>
      <c r="AI433" s="29"/>
      <c r="AJ433" s="29"/>
      <c r="AT433" s="23"/>
      <c r="BT433" s="29"/>
    </row>
    <row r="434" spans="1:72" ht="11.25">
      <c r="A434" s="29"/>
      <c r="B434" s="34"/>
      <c r="C434" s="29"/>
      <c r="D434" s="29" t="s">
        <v>158</v>
      </c>
      <c r="E434" s="29"/>
      <c r="F434" s="29"/>
      <c r="G434" s="29"/>
      <c r="H434" s="29"/>
      <c r="I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T434" s="23"/>
      <c r="BT434" s="29"/>
    </row>
    <row r="435" spans="1:72" ht="11.25">
      <c r="A435" s="29"/>
      <c r="B435" s="34"/>
      <c r="C435" s="29"/>
      <c r="D435" s="29" t="s">
        <v>159</v>
      </c>
      <c r="E435" s="29"/>
      <c r="F435" s="29"/>
      <c r="G435" s="29"/>
      <c r="H435" s="29"/>
      <c r="I435" s="29"/>
      <c r="K435" s="62">
        <f>+J424</f>
        <v>7.7</v>
      </c>
      <c r="L435" s="62"/>
      <c r="M435" s="27" t="s">
        <v>6</v>
      </c>
      <c r="N435" s="29">
        <v>2</v>
      </c>
      <c r="O435" s="29" t="s">
        <v>28</v>
      </c>
      <c r="P435" s="29">
        <v>1</v>
      </c>
      <c r="Q435" s="29" t="s">
        <v>150</v>
      </c>
      <c r="R435" s="63">
        <f>+Q424</f>
        <v>1.5</v>
      </c>
      <c r="S435" s="63"/>
      <c r="T435" s="29" t="s">
        <v>6</v>
      </c>
      <c r="U435" s="63">
        <f>+J424</f>
        <v>7.7</v>
      </c>
      <c r="V435" s="63"/>
      <c r="W435" s="29" t="s">
        <v>160</v>
      </c>
      <c r="X435" s="29"/>
      <c r="Y435" s="63">
        <f>+K435/N435*(P435-(R435/U435)^2)</f>
        <v>3.703896103896104</v>
      </c>
      <c r="Z435" s="63"/>
      <c r="AA435" s="29" t="s">
        <v>15</v>
      </c>
      <c r="AB435" s="29"/>
      <c r="AC435" s="29"/>
      <c r="AD435" s="29"/>
      <c r="AE435" s="29"/>
      <c r="AF435" s="29"/>
      <c r="AG435" s="29"/>
      <c r="AH435" s="29"/>
      <c r="AI435" s="29"/>
      <c r="AJ435" s="29"/>
      <c r="AT435" s="23"/>
      <c r="BT435" s="29"/>
    </row>
    <row r="436" spans="1:72" ht="11.25">
      <c r="A436" s="29"/>
      <c r="B436" s="34"/>
      <c r="C436" s="29"/>
      <c r="D436" s="29" t="s">
        <v>161</v>
      </c>
      <c r="E436" s="29"/>
      <c r="F436" s="29"/>
      <c r="G436" s="29"/>
      <c r="H436" s="29"/>
      <c r="I436" s="63">
        <f>+K418</f>
        <v>2.56</v>
      </c>
      <c r="J436" s="63"/>
      <c r="K436" s="36" t="s">
        <v>4</v>
      </c>
      <c r="L436" s="62">
        <f>+Q424</f>
        <v>1.5</v>
      </c>
      <c r="M436" s="62"/>
      <c r="N436" s="29" t="s">
        <v>23</v>
      </c>
      <c r="O436" s="29">
        <v>2</v>
      </c>
      <c r="P436" s="39" t="s">
        <v>7</v>
      </c>
      <c r="Q436" s="63">
        <f>+I436*L436^2/O436</f>
        <v>2.88</v>
      </c>
      <c r="R436" s="63"/>
      <c r="S436" s="29" t="s">
        <v>162</v>
      </c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T436" s="23"/>
      <c r="BT436" s="29"/>
    </row>
    <row r="437" spans="1:72" ht="11.25">
      <c r="A437" s="29"/>
      <c r="B437" s="34"/>
      <c r="C437" s="29"/>
      <c r="D437" s="29" t="s">
        <v>163</v>
      </c>
      <c r="E437" s="29"/>
      <c r="F437" s="29"/>
      <c r="G437" s="29"/>
      <c r="H437" s="29"/>
      <c r="I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T437" s="23"/>
      <c r="BT437" s="29"/>
    </row>
    <row r="438" spans="1:72" ht="11.25">
      <c r="A438" s="29"/>
      <c r="B438" s="34"/>
      <c r="C438" s="29"/>
      <c r="D438" s="29" t="s">
        <v>164</v>
      </c>
      <c r="E438" s="63">
        <f>+K418/100</f>
        <v>0.0256</v>
      </c>
      <c r="F438" s="63"/>
      <c r="G438" s="39" t="s">
        <v>4</v>
      </c>
      <c r="H438" s="63">
        <f>+J424*100</f>
        <v>770</v>
      </c>
      <c r="I438" s="63"/>
      <c r="J438" s="48" t="s">
        <v>165</v>
      </c>
      <c r="K438" s="27">
        <v>24</v>
      </c>
      <c r="L438" s="36" t="s">
        <v>4</v>
      </c>
      <c r="M438" s="63">
        <f>+Y421</f>
        <v>21000</v>
      </c>
      <c r="N438" s="63"/>
      <c r="O438" s="39" t="s">
        <v>4</v>
      </c>
      <c r="P438" s="63">
        <f>+Y422</f>
        <v>5645</v>
      </c>
      <c r="Q438" s="63"/>
      <c r="R438" s="29" t="s">
        <v>166</v>
      </c>
      <c r="S438" s="29"/>
      <c r="T438" s="63">
        <f>+Q424*100</f>
        <v>150</v>
      </c>
      <c r="U438" s="63"/>
      <c r="V438" s="29" t="s">
        <v>6</v>
      </c>
      <c r="W438" s="63">
        <f>+J424*100</f>
        <v>770</v>
      </c>
      <c r="X438" s="63"/>
      <c r="Y438" s="29" t="s">
        <v>34</v>
      </c>
      <c r="Z438" s="29">
        <v>4</v>
      </c>
      <c r="AA438" s="29" t="s">
        <v>28</v>
      </c>
      <c r="AB438" s="63">
        <f>+T438</f>
        <v>150</v>
      </c>
      <c r="AC438" s="63"/>
      <c r="AD438" s="29" t="s">
        <v>6</v>
      </c>
      <c r="AE438" s="63">
        <f>+W438</f>
        <v>770</v>
      </c>
      <c r="AF438" s="63"/>
      <c r="AG438" s="29" t="s">
        <v>167</v>
      </c>
      <c r="AH438" s="29">
        <v>3</v>
      </c>
      <c r="AI438" s="29" t="s">
        <v>28</v>
      </c>
      <c r="AJ438" s="63">
        <f>+AB438</f>
        <v>150</v>
      </c>
      <c r="AK438" s="63"/>
      <c r="AL438" s="29" t="s">
        <v>6</v>
      </c>
      <c r="AM438" s="63">
        <f>+AE438</f>
        <v>770</v>
      </c>
      <c r="AN438" s="63"/>
      <c r="AO438" s="27" t="s">
        <v>168</v>
      </c>
      <c r="AQ438" s="64">
        <f>+E438*H438^4/(K438*M438*P438)*(-(T438/W438)+Z438*(AB438/AE438)^3+AH438*(AJ438/AM438)^4)</f>
        <v>-0.5089820743177697</v>
      </c>
      <c r="AR438" s="64"/>
      <c r="AS438" s="64"/>
      <c r="AT438" s="23" t="s">
        <v>51</v>
      </c>
      <c r="BT438" s="29"/>
    </row>
    <row r="439" spans="1:72" ht="11.25">
      <c r="A439" s="29"/>
      <c r="B439" s="34"/>
      <c r="C439" s="29"/>
      <c r="D439" s="29" t="s">
        <v>169</v>
      </c>
      <c r="E439" s="29"/>
      <c r="F439" s="29"/>
      <c r="G439" s="29"/>
      <c r="H439" s="29"/>
      <c r="I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T439" s="23"/>
      <c r="BT439" s="29"/>
    </row>
    <row r="440" spans="1:72" ht="11.25">
      <c r="A440" s="29"/>
      <c r="B440" s="34"/>
      <c r="C440" s="29"/>
      <c r="D440" s="27" t="s">
        <v>196</v>
      </c>
      <c r="I440" s="29" t="s">
        <v>170</v>
      </c>
      <c r="J440" s="65">
        <v>3</v>
      </c>
      <c r="K440" s="65"/>
      <c r="L440" s="29" t="s">
        <v>171</v>
      </c>
      <c r="M440" s="29"/>
      <c r="N440" s="29"/>
      <c r="Q440" s="58">
        <f>IF(J440&gt;J424,"x 'e L uzunluğundan büyük sayı giremezsiniz.","")</f>
      </c>
      <c r="R440" s="29"/>
      <c r="S440" s="29"/>
      <c r="T440" s="29"/>
      <c r="U440" s="29"/>
      <c r="V440" s="29"/>
      <c r="W440" s="29"/>
      <c r="X440" s="29"/>
      <c r="Y440" s="29"/>
      <c r="Z440" s="29"/>
      <c r="AT440" s="23"/>
      <c r="BT440" s="29"/>
    </row>
    <row r="441" spans="1:72" ht="11.25">
      <c r="A441" s="29"/>
      <c r="B441" s="34"/>
      <c r="C441" s="29"/>
      <c r="D441" s="29" t="s">
        <v>164</v>
      </c>
      <c r="E441" s="63">
        <f>+K418/100</f>
        <v>0.0256</v>
      </c>
      <c r="F441" s="63"/>
      <c r="G441" s="39" t="s">
        <v>4</v>
      </c>
      <c r="H441" s="63">
        <f>+J424*100</f>
        <v>770</v>
      </c>
      <c r="I441" s="63"/>
      <c r="J441" s="48" t="s">
        <v>165</v>
      </c>
      <c r="K441" s="27">
        <v>24</v>
      </c>
      <c r="L441" s="36" t="s">
        <v>4</v>
      </c>
      <c r="M441" s="63">
        <f>+Y421</f>
        <v>21000</v>
      </c>
      <c r="N441" s="63"/>
      <c r="O441" s="39" t="s">
        <v>4</v>
      </c>
      <c r="P441" s="63">
        <f>+Y422</f>
        <v>5645</v>
      </c>
      <c r="Q441" s="63"/>
      <c r="R441" s="29" t="s">
        <v>172</v>
      </c>
      <c r="S441" s="29"/>
      <c r="T441" s="29">
        <v>1</v>
      </c>
      <c r="U441" s="39" t="s">
        <v>5</v>
      </c>
      <c r="V441" s="29">
        <v>2</v>
      </c>
      <c r="W441" s="29" t="s">
        <v>28</v>
      </c>
      <c r="X441" s="63">
        <f>+Q424*100</f>
        <v>150</v>
      </c>
      <c r="Y441" s="63"/>
      <c r="Z441" s="29" t="s">
        <v>6</v>
      </c>
      <c r="AA441" s="63">
        <f>+J424*100</f>
        <v>770</v>
      </c>
      <c r="AB441" s="63"/>
      <c r="AC441" s="29" t="s">
        <v>173</v>
      </c>
      <c r="AD441" s="29"/>
      <c r="AE441" s="63">
        <f>+J440*100</f>
        <v>300</v>
      </c>
      <c r="AF441" s="63"/>
      <c r="AG441" s="29" t="s">
        <v>6</v>
      </c>
      <c r="AH441" s="63">
        <f>+J424*100</f>
        <v>770</v>
      </c>
      <c r="AI441" s="63"/>
      <c r="AJ441" s="29" t="s">
        <v>17</v>
      </c>
      <c r="AK441" s="27">
        <v>2</v>
      </c>
      <c r="AL441" s="27" t="s">
        <v>28</v>
      </c>
      <c r="AM441" s="27">
        <v>1</v>
      </c>
      <c r="AN441" s="27" t="s">
        <v>150</v>
      </c>
      <c r="AO441" s="63">
        <f>+X441</f>
        <v>150</v>
      </c>
      <c r="AP441" s="63"/>
      <c r="AQ441" s="29" t="s">
        <v>6</v>
      </c>
      <c r="AT441" s="23"/>
      <c r="BT441" s="29"/>
    </row>
    <row r="442" spans="1:72" ht="11.25">
      <c r="A442" s="29"/>
      <c r="B442" s="34"/>
      <c r="C442" s="29"/>
      <c r="D442" s="29"/>
      <c r="E442" s="63">
        <f>+AA441</f>
        <v>770</v>
      </c>
      <c r="F442" s="63"/>
      <c r="G442" s="27" t="s">
        <v>173</v>
      </c>
      <c r="I442" s="63">
        <f>+AE441</f>
        <v>300</v>
      </c>
      <c r="J442" s="63"/>
      <c r="K442" s="29" t="s">
        <v>6</v>
      </c>
      <c r="L442" s="63">
        <f>+AH441</f>
        <v>770</v>
      </c>
      <c r="M442" s="63"/>
      <c r="N442" s="27" t="s">
        <v>174</v>
      </c>
      <c r="P442" s="63">
        <f>+I442</f>
        <v>300</v>
      </c>
      <c r="Q442" s="63"/>
      <c r="R442" s="29" t="s">
        <v>6</v>
      </c>
      <c r="S442" s="63">
        <f>+L442</f>
        <v>770</v>
      </c>
      <c r="T442" s="63"/>
      <c r="U442" s="27" t="s">
        <v>175</v>
      </c>
      <c r="W442" s="62">
        <f>+E441*H441^4/(K441*M441*P441)*((T441-V441*(X441/AA441)^2)*(AE441/AH441)-AK441*(AM441-(AO441/E442)^2)*(I442/L442)^3+(P442/S442)^4)</f>
        <v>0.8517750802068151</v>
      </c>
      <c r="X442" s="62"/>
      <c r="Y442" s="62"/>
      <c r="Z442" s="27" t="s">
        <v>51</v>
      </c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T442" s="23"/>
      <c r="BT442" s="29"/>
    </row>
    <row r="443" spans="1:72" ht="12" thickBot="1">
      <c r="A443" s="29"/>
      <c r="B443" s="44"/>
      <c r="C443" s="45"/>
      <c r="D443" s="45"/>
      <c r="E443" s="45"/>
      <c r="F443" s="45"/>
      <c r="G443" s="45"/>
      <c r="H443" s="45"/>
      <c r="I443" s="45"/>
      <c r="J443" s="43"/>
      <c r="K443" s="43"/>
      <c r="L443" s="43"/>
      <c r="M443" s="43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3"/>
      <c r="AL443" s="43"/>
      <c r="AM443" s="43"/>
      <c r="AN443" s="43"/>
      <c r="AO443" s="43"/>
      <c r="AP443" s="43"/>
      <c r="AQ443" s="43"/>
      <c r="AR443" s="43"/>
      <c r="AS443" s="43"/>
      <c r="AT443" s="49"/>
      <c r="BT443" s="29"/>
    </row>
    <row r="444" spans="1:72" ht="12" thickTop="1">
      <c r="A444" s="29"/>
      <c r="B444" s="34"/>
      <c r="C444" s="29"/>
      <c r="D444" s="29"/>
      <c r="E444" s="29"/>
      <c r="F444" s="29"/>
      <c r="G444" s="29"/>
      <c r="H444" s="29"/>
      <c r="I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E444" s="29"/>
      <c r="AF444" s="29"/>
      <c r="AG444" s="29"/>
      <c r="AH444" s="29"/>
      <c r="AI444" s="29"/>
      <c r="AJ444" s="29"/>
      <c r="AT444" s="23"/>
      <c r="BT444" s="29"/>
    </row>
    <row r="445" spans="1:72" ht="11.25">
      <c r="A445" s="29"/>
      <c r="B445" s="34"/>
      <c r="C445" s="29"/>
      <c r="D445" s="29"/>
      <c r="E445" s="29"/>
      <c r="F445" s="29"/>
      <c r="G445" s="29"/>
      <c r="H445" s="29"/>
      <c r="I445" s="29"/>
      <c r="N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T445" s="23"/>
      <c r="BT445" s="29"/>
    </row>
    <row r="446" spans="1:72" ht="11.25">
      <c r="A446" s="29"/>
      <c r="B446" s="34"/>
      <c r="C446" s="29"/>
      <c r="D446" s="29"/>
      <c r="E446" s="29"/>
      <c r="F446" s="29"/>
      <c r="G446" s="29"/>
      <c r="H446" s="29"/>
      <c r="I446" s="29"/>
      <c r="N446" s="29"/>
      <c r="O446" s="27" t="s">
        <v>24</v>
      </c>
      <c r="P446" s="65">
        <v>10</v>
      </c>
      <c r="Q446" s="65"/>
      <c r="R446" s="27" t="s">
        <v>69</v>
      </c>
      <c r="S446" s="29"/>
      <c r="U446" s="29"/>
      <c r="V446" s="29"/>
      <c r="W446" s="29"/>
      <c r="AT446" s="23"/>
      <c r="BT446" s="29"/>
    </row>
    <row r="447" spans="1:72" ht="11.25">
      <c r="A447" s="29"/>
      <c r="B447" s="34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AT447" s="23"/>
      <c r="BT447" s="29"/>
    </row>
    <row r="448" spans="1:72" ht="11.25">
      <c r="A448" s="29"/>
      <c r="B448" s="34"/>
      <c r="C448" s="29"/>
      <c r="D448" s="29"/>
      <c r="E448" s="29"/>
      <c r="O448" s="62" t="s">
        <v>42</v>
      </c>
      <c r="P448" s="67"/>
      <c r="R448" s="29"/>
      <c r="S448" s="29"/>
      <c r="T448" s="29"/>
      <c r="U448" s="29"/>
      <c r="V448" s="29"/>
      <c r="Y448" s="61" t="s">
        <v>251</v>
      </c>
      <c r="AG448" s="29"/>
      <c r="AH448" s="29"/>
      <c r="AI448" s="29"/>
      <c r="AJ448" s="29"/>
      <c r="AT448" s="23"/>
      <c r="BT448" s="29"/>
    </row>
    <row r="449" spans="1:72" ht="12" thickBot="1">
      <c r="A449" s="29"/>
      <c r="B449" s="34"/>
      <c r="C449" s="29"/>
      <c r="D449" s="29"/>
      <c r="E449" s="29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26"/>
      <c r="Q449" s="26"/>
      <c r="R449" s="26"/>
      <c r="S449" s="35"/>
      <c r="T449" s="29"/>
      <c r="U449" s="29"/>
      <c r="V449" s="29"/>
      <c r="X449" s="29" t="s">
        <v>49</v>
      </c>
      <c r="Y449" s="65">
        <v>21000</v>
      </c>
      <c r="Z449" s="65"/>
      <c r="AA449" s="29" t="s">
        <v>53</v>
      </c>
      <c r="AC449" s="29"/>
      <c r="AD449" s="29"/>
      <c r="AE449" s="29"/>
      <c r="AF449" s="29"/>
      <c r="AK449" s="29"/>
      <c r="AT449" s="23"/>
      <c r="BT449" s="29"/>
    </row>
    <row r="450" spans="1:72" ht="12.75" thickBot="1" thickTop="1">
      <c r="A450" s="29"/>
      <c r="B450" s="34"/>
      <c r="C450" s="29"/>
      <c r="D450" s="29"/>
      <c r="E450" s="29" t="s">
        <v>41</v>
      </c>
      <c r="F450" s="36"/>
      <c r="R450" s="29"/>
      <c r="S450" s="29"/>
      <c r="T450" s="29" t="s">
        <v>32</v>
      </c>
      <c r="U450" s="29"/>
      <c r="V450" s="29"/>
      <c r="W450" s="29"/>
      <c r="X450" s="29" t="s">
        <v>50</v>
      </c>
      <c r="Y450" s="65">
        <v>5645</v>
      </c>
      <c r="Z450" s="65"/>
      <c r="AA450" s="29" t="s">
        <v>54</v>
      </c>
      <c r="AC450" s="29"/>
      <c r="AD450" s="29"/>
      <c r="AE450" s="29"/>
      <c r="AF450" s="29"/>
      <c r="AK450" s="29"/>
      <c r="AT450" s="23"/>
      <c r="BT450" s="29"/>
    </row>
    <row r="451" spans="1:72" ht="12" thickTop="1">
      <c r="A451" s="29"/>
      <c r="B451" s="34"/>
      <c r="C451" s="29"/>
      <c r="D451" s="29"/>
      <c r="E451" s="37"/>
      <c r="F451" s="37"/>
      <c r="I451" s="29"/>
      <c r="N451" s="29"/>
      <c r="O451" s="37"/>
      <c r="P451" s="37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T451" s="23"/>
      <c r="BT451" s="29"/>
    </row>
    <row r="452" spans="1:72" ht="11.25">
      <c r="A452" s="29"/>
      <c r="B452" s="34"/>
      <c r="C452" s="29"/>
      <c r="D452" s="29"/>
      <c r="E452" s="29"/>
      <c r="I452" s="29" t="s">
        <v>25</v>
      </c>
      <c r="J452" s="65">
        <v>4</v>
      </c>
      <c r="K452" s="65"/>
      <c r="L452" s="27" t="s">
        <v>15</v>
      </c>
      <c r="P452" s="54" t="s">
        <v>26</v>
      </c>
      <c r="Q452" s="65">
        <v>1.5</v>
      </c>
      <c r="R452" s="65"/>
      <c r="S452" s="27" t="s">
        <v>15</v>
      </c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T452" s="23"/>
      <c r="BT452" s="29"/>
    </row>
    <row r="453" spans="1:72" ht="11.25">
      <c r="A453" s="29"/>
      <c r="B453" s="34"/>
      <c r="C453" s="29"/>
      <c r="D453" s="29"/>
      <c r="E453" s="29"/>
      <c r="F453" s="29"/>
      <c r="G453" s="29"/>
      <c r="H453" s="29"/>
      <c r="I453" s="29"/>
      <c r="J453" s="29"/>
      <c r="N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T453" s="23"/>
      <c r="BT453" s="29"/>
    </row>
    <row r="454" spans="1:72" ht="11.25">
      <c r="A454" s="29"/>
      <c r="B454" s="34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38" t="s">
        <v>197</v>
      </c>
      <c r="AF454" s="29"/>
      <c r="AG454" s="29"/>
      <c r="AH454" s="29"/>
      <c r="AI454" s="29"/>
      <c r="AJ454" s="29"/>
      <c r="AT454" s="23"/>
      <c r="BT454" s="29"/>
    </row>
    <row r="455" spans="1:72" ht="11.25">
      <c r="A455" s="29"/>
      <c r="B455" s="34"/>
      <c r="C455" s="29"/>
      <c r="D455" s="29"/>
      <c r="E455" s="29" t="s">
        <v>35</v>
      </c>
      <c r="F455" s="29"/>
      <c r="G455" s="29"/>
      <c r="H455" s="29"/>
      <c r="I455" s="29"/>
      <c r="J455" s="29"/>
      <c r="K455" s="29"/>
      <c r="L455" s="29"/>
      <c r="M455" s="29"/>
      <c r="N455" s="29"/>
      <c r="O455" s="29" t="s">
        <v>36</v>
      </c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T455" s="23"/>
      <c r="BT455" s="29"/>
    </row>
    <row r="456" spans="1:72" ht="11.25">
      <c r="A456" s="29"/>
      <c r="B456" s="34"/>
      <c r="C456" s="29"/>
      <c r="D456" s="29"/>
      <c r="E456" s="29"/>
      <c r="F456" s="29"/>
      <c r="G456" s="29" t="s">
        <v>43</v>
      </c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T456" s="23"/>
      <c r="BT456" s="29"/>
    </row>
    <row r="457" spans="1:72" ht="11.25">
      <c r="A457" s="29"/>
      <c r="B457" s="34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T457" s="23"/>
      <c r="BT457" s="29"/>
    </row>
    <row r="458" spans="1:72" ht="11.25">
      <c r="A458" s="29"/>
      <c r="B458" s="34"/>
      <c r="C458" s="29" t="s">
        <v>210</v>
      </c>
      <c r="D458" s="29"/>
      <c r="E458" s="29"/>
      <c r="F458" s="29"/>
      <c r="G458" s="29"/>
      <c r="H458" s="29"/>
      <c r="I458" s="62">
        <f>+P446</f>
        <v>10</v>
      </c>
      <c r="J458" s="62"/>
      <c r="K458" s="36" t="s">
        <v>4</v>
      </c>
      <c r="L458" s="62">
        <f>+Q452</f>
        <v>1.5</v>
      </c>
      <c r="M458" s="62"/>
      <c r="N458" s="29" t="s">
        <v>211</v>
      </c>
      <c r="O458" s="29">
        <v>2</v>
      </c>
      <c r="P458" s="39" t="s">
        <v>4</v>
      </c>
      <c r="Q458" s="63">
        <f>+J452</f>
        <v>4</v>
      </c>
      <c r="R458" s="63"/>
      <c r="S458" s="29" t="s">
        <v>31</v>
      </c>
      <c r="T458" s="63">
        <f>+I458*L458^2/(O458*Q458)</f>
        <v>2.8125</v>
      </c>
      <c r="U458" s="63"/>
      <c r="V458" s="29" t="s">
        <v>55</v>
      </c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T458" s="23"/>
      <c r="BT458" s="29"/>
    </row>
    <row r="459" spans="1:72" ht="11.25">
      <c r="A459" s="29"/>
      <c r="B459" s="34"/>
      <c r="C459" s="29" t="s">
        <v>212</v>
      </c>
      <c r="D459" s="29"/>
      <c r="E459" s="29"/>
      <c r="F459" s="29"/>
      <c r="G459" s="29"/>
      <c r="H459" s="29"/>
      <c r="L459" s="62">
        <f>+P446</f>
        <v>10</v>
      </c>
      <c r="M459" s="62"/>
      <c r="N459" s="39" t="s">
        <v>4</v>
      </c>
      <c r="O459" s="63">
        <f>+Q452</f>
        <v>1.5</v>
      </c>
      <c r="P459" s="63"/>
      <c r="Q459" s="29" t="s">
        <v>28</v>
      </c>
      <c r="R459" s="29">
        <v>1</v>
      </c>
      <c r="S459" s="39" t="s">
        <v>12</v>
      </c>
      <c r="T459" s="63">
        <f>+Q452</f>
        <v>1.5</v>
      </c>
      <c r="U459" s="63"/>
      <c r="V459" s="29" t="s">
        <v>29</v>
      </c>
      <c r="W459" s="29">
        <v>2</v>
      </c>
      <c r="X459" s="39" t="s">
        <v>4</v>
      </c>
      <c r="Y459" s="63">
        <f>+J452</f>
        <v>4</v>
      </c>
      <c r="Z459" s="63"/>
      <c r="AA459" s="29" t="s">
        <v>213</v>
      </c>
      <c r="AB459" s="29"/>
      <c r="AC459" s="63">
        <f>+L459*O459*(R459+T459/(W459*Y459))</f>
        <v>17.8125</v>
      </c>
      <c r="AD459" s="63"/>
      <c r="AE459" s="29" t="s">
        <v>55</v>
      </c>
      <c r="AF459" s="29"/>
      <c r="AG459" s="29"/>
      <c r="AH459" s="29"/>
      <c r="AI459" s="29"/>
      <c r="AT459" s="23"/>
      <c r="BT459" s="29"/>
    </row>
    <row r="460" spans="1:72" ht="11.25">
      <c r="A460" s="29"/>
      <c r="B460" s="34"/>
      <c r="C460" s="29" t="s">
        <v>161</v>
      </c>
      <c r="D460" s="29"/>
      <c r="E460" s="29"/>
      <c r="F460" s="29"/>
      <c r="G460" s="29"/>
      <c r="H460" s="63">
        <f>+P446</f>
        <v>10</v>
      </c>
      <c r="I460" s="63"/>
      <c r="J460" s="36" t="s">
        <v>4</v>
      </c>
      <c r="K460" s="62">
        <f>+Q452</f>
        <v>1.5</v>
      </c>
      <c r="L460" s="62"/>
      <c r="M460" s="29" t="s">
        <v>23</v>
      </c>
      <c r="N460" s="29">
        <v>2</v>
      </c>
      <c r="O460" s="29" t="s">
        <v>7</v>
      </c>
      <c r="P460" s="63">
        <f>+H460*K460^2/N460</f>
        <v>11.25</v>
      </c>
      <c r="Q460" s="63"/>
      <c r="R460" s="29" t="s">
        <v>162</v>
      </c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T460" s="23"/>
      <c r="BT460" s="29"/>
    </row>
    <row r="461" spans="1:72" ht="11.25">
      <c r="A461" s="29"/>
      <c r="B461" s="34"/>
      <c r="C461" s="29" t="s">
        <v>214</v>
      </c>
      <c r="D461" s="29"/>
      <c r="E461" s="29"/>
      <c r="F461" s="29"/>
      <c r="G461" s="29"/>
      <c r="H461" s="29"/>
      <c r="M461" s="29"/>
      <c r="N461" s="29"/>
      <c r="O461" s="29"/>
      <c r="P461" s="29"/>
      <c r="Q461" s="63">
        <f>+P446/100</f>
        <v>0.1</v>
      </c>
      <c r="R461" s="63"/>
      <c r="S461" s="39" t="s">
        <v>4</v>
      </c>
      <c r="T461" s="63">
        <f>+Q452*100</f>
        <v>150</v>
      </c>
      <c r="U461" s="63"/>
      <c r="V461" s="39" t="s">
        <v>216</v>
      </c>
      <c r="W461" s="63">
        <f>+J452*100</f>
        <v>400</v>
      </c>
      <c r="X461" s="63"/>
      <c r="Y461" s="29" t="s">
        <v>211</v>
      </c>
      <c r="Z461" s="29">
        <v>18</v>
      </c>
      <c r="AA461" s="29" t="s">
        <v>215</v>
      </c>
      <c r="AB461" s="29">
        <v>3</v>
      </c>
      <c r="AC461" s="39" t="s">
        <v>4</v>
      </c>
      <c r="AD461" s="63">
        <f>+Y449</f>
        <v>21000</v>
      </c>
      <c r="AE461" s="63"/>
      <c r="AF461" s="39" t="s">
        <v>4</v>
      </c>
      <c r="AG461" s="63">
        <f>+Y450</f>
        <v>5645</v>
      </c>
      <c r="AH461" s="63"/>
      <c r="AI461" s="29" t="s">
        <v>31</v>
      </c>
      <c r="AJ461" s="64">
        <f>+Q461*T461^2*W461^2/(Z461*SQRT(AB461)*AD461*AG461)</f>
        <v>0.0974060937516767</v>
      </c>
      <c r="AK461" s="64"/>
      <c r="AL461" s="64"/>
      <c r="AM461" s="27" t="s">
        <v>51</v>
      </c>
      <c r="AT461" s="23"/>
      <c r="BT461" s="29"/>
    </row>
    <row r="462" spans="1:72" ht="11.25">
      <c r="A462" s="29"/>
      <c r="B462" s="34"/>
      <c r="C462" s="29" t="s">
        <v>220</v>
      </c>
      <c r="D462" s="29"/>
      <c r="E462" s="29"/>
      <c r="F462" s="29"/>
      <c r="G462" s="29"/>
      <c r="H462" s="29"/>
      <c r="M462" s="63">
        <f>+J452</f>
        <v>4</v>
      </c>
      <c r="N462" s="63"/>
      <c r="O462" s="29" t="s">
        <v>206</v>
      </c>
      <c r="P462" s="29">
        <v>3</v>
      </c>
      <c r="Q462" s="39" t="s">
        <v>7</v>
      </c>
      <c r="R462" s="63">
        <f>+M462/SQRT(P462)</f>
        <v>2.3094010767585034</v>
      </c>
      <c r="S462" s="63"/>
      <c r="T462" s="39" t="s">
        <v>15</v>
      </c>
      <c r="U462" s="39"/>
      <c r="V462" s="39"/>
      <c r="W462" s="39"/>
      <c r="X462" s="39"/>
      <c r="Y462" s="29"/>
      <c r="Z462" s="29"/>
      <c r="AA462" s="29"/>
      <c r="AB462" s="29"/>
      <c r="AC462" s="39"/>
      <c r="AD462" s="39"/>
      <c r="AE462" s="39"/>
      <c r="AF462" s="39"/>
      <c r="AG462" s="39"/>
      <c r="AH462" s="39"/>
      <c r="AI462" s="29"/>
      <c r="AJ462" s="47"/>
      <c r="AK462" s="47"/>
      <c r="AL462" s="47"/>
      <c r="AT462" s="23"/>
      <c r="BT462" s="29"/>
    </row>
    <row r="463" spans="1:72" ht="11.25">
      <c r="A463" s="29"/>
      <c r="B463" s="34"/>
      <c r="C463" s="29" t="s">
        <v>217</v>
      </c>
      <c r="D463" s="29"/>
      <c r="E463" s="29"/>
      <c r="F463" s="29"/>
      <c r="G463" s="29"/>
      <c r="H463" s="29"/>
      <c r="M463" s="29"/>
      <c r="N463" s="29"/>
      <c r="O463" s="29"/>
      <c r="P463" s="29"/>
      <c r="Q463" s="29"/>
      <c r="R463" s="29"/>
      <c r="S463" s="63">
        <f>+P446/100</f>
        <v>0.1</v>
      </c>
      <c r="T463" s="63"/>
      <c r="U463" s="29" t="s">
        <v>4</v>
      </c>
      <c r="V463" s="63">
        <f>+Q452*100</f>
        <v>150</v>
      </c>
      <c r="W463" s="63"/>
      <c r="X463" s="50" t="s">
        <v>218</v>
      </c>
      <c r="Y463" s="29">
        <v>4</v>
      </c>
      <c r="Z463" s="39" t="s">
        <v>4</v>
      </c>
      <c r="AA463" s="63">
        <f>+J452*100</f>
        <v>400</v>
      </c>
      <c r="AB463" s="63"/>
      <c r="AC463" s="39" t="s">
        <v>12</v>
      </c>
      <c r="AD463" s="29">
        <v>3</v>
      </c>
      <c r="AE463" s="39" t="s">
        <v>4</v>
      </c>
      <c r="AF463" s="63">
        <f>+Q452*100</f>
        <v>150</v>
      </c>
      <c r="AG463" s="63"/>
      <c r="AH463" s="27" t="s">
        <v>219</v>
      </c>
      <c r="AI463" s="27">
        <v>24</v>
      </c>
      <c r="AJ463" s="36" t="s">
        <v>4</v>
      </c>
      <c r="AK463" s="62">
        <f>+Y449</f>
        <v>21000</v>
      </c>
      <c r="AL463" s="62"/>
      <c r="AM463" s="36" t="s">
        <v>4</v>
      </c>
      <c r="AN463" s="62">
        <f>+Y450</f>
        <v>5645</v>
      </c>
      <c r="AO463" s="62"/>
      <c r="AP463" s="29" t="s">
        <v>31</v>
      </c>
      <c r="AQ463" s="63">
        <f>+S463*V463^3*(Y463*AA463+AD463*AF463)/(AI463*AK463*AN463)</f>
        <v>0.24318296849297735</v>
      </c>
      <c r="AR463" s="63"/>
      <c r="AS463" s="63"/>
      <c r="AT463" s="23" t="s">
        <v>51</v>
      </c>
      <c r="BT463" s="29"/>
    </row>
    <row r="464" spans="1:72" ht="12" thickBot="1">
      <c r="A464" s="29"/>
      <c r="B464" s="42"/>
      <c r="AD464" s="43"/>
      <c r="AT464" s="23"/>
      <c r="BT464" s="29"/>
    </row>
    <row r="465" spans="1:72" ht="12" thickTop="1">
      <c r="A465" s="29"/>
      <c r="B465" s="30"/>
      <c r="C465" s="31"/>
      <c r="D465" s="31"/>
      <c r="E465" s="31"/>
      <c r="F465" s="31"/>
      <c r="G465" s="31"/>
      <c r="H465" s="31"/>
      <c r="I465" s="31"/>
      <c r="J465" s="32"/>
      <c r="K465" s="32"/>
      <c r="L465" s="32"/>
      <c r="M465" s="32"/>
      <c r="N465" s="31"/>
      <c r="O465" s="31"/>
      <c r="P465" s="31"/>
      <c r="Q465" s="31"/>
      <c r="R465" s="31"/>
      <c r="S465" s="31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3"/>
      <c r="BT465" s="29"/>
    </row>
    <row r="466" spans="1:72" ht="11.25">
      <c r="A466" s="29"/>
      <c r="B466" s="34"/>
      <c r="C466" s="29"/>
      <c r="D466" s="29"/>
      <c r="E466" s="29"/>
      <c r="F466" s="29"/>
      <c r="G466" s="29"/>
      <c r="H466" s="29"/>
      <c r="I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T466" s="23"/>
      <c r="BT466" s="29"/>
    </row>
    <row r="467" spans="1:72" ht="11.25">
      <c r="A467" s="29"/>
      <c r="B467" s="34"/>
      <c r="C467" s="29"/>
      <c r="D467" s="29"/>
      <c r="E467" s="29"/>
      <c r="F467" s="29"/>
      <c r="G467" s="29"/>
      <c r="H467" s="29"/>
      <c r="I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T467" s="23"/>
      <c r="BT467" s="29"/>
    </row>
    <row r="468" spans="1:72" ht="11.25">
      <c r="A468" s="29"/>
      <c r="B468" s="34"/>
      <c r="C468" s="29"/>
      <c r="D468" s="29"/>
      <c r="E468" s="29"/>
      <c r="F468" s="29"/>
      <c r="G468" s="29"/>
      <c r="H468" s="29"/>
      <c r="I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T468" s="23"/>
      <c r="BT468" s="29"/>
    </row>
    <row r="469" spans="1:72" ht="11.25">
      <c r="A469" s="29"/>
      <c r="B469" s="34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T469" s="23"/>
      <c r="BT469" s="29"/>
    </row>
    <row r="470" spans="1:72" ht="11.25">
      <c r="A470" s="29"/>
      <c r="B470" s="34"/>
      <c r="C470" s="29"/>
      <c r="D470" s="29"/>
      <c r="E470" s="27" t="s">
        <v>77</v>
      </c>
      <c r="F470" s="65">
        <v>25</v>
      </c>
      <c r="G470" s="65"/>
      <c r="H470" s="27" t="s">
        <v>55</v>
      </c>
      <c r="I470" s="29"/>
      <c r="J470" s="29"/>
      <c r="K470" s="29"/>
      <c r="L470" s="29"/>
      <c r="M470" s="29"/>
      <c r="N470" s="29"/>
      <c r="S470" s="29"/>
      <c r="T470" s="29"/>
      <c r="U470" s="29"/>
      <c r="V470" s="27" t="s">
        <v>77</v>
      </c>
      <c r="W470" s="63">
        <f>+F470</f>
        <v>25</v>
      </c>
      <c r="X470" s="63"/>
      <c r="Y470" s="27" t="s">
        <v>55</v>
      </c>
      <c r="Z470" s="29"/>
      <c r="AA470" s="29"/>
      <c r="AB470" s="29"/>
      <c r="AT470" s="23"/>
      <c r="BT470" s="29"/>
    </row>
    <row r="471" spans="1:72" ht="11.25">
      <c r="A471" s="29"/>
      <c r="B471" s="34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T471" s="23"/>
      <c r="BT471" s="29"/>
    </row>
    <row r="472" spans="1:72" ht="11.25">
      <c r="A472" s="29"/>
      <c r="B472" s="34"/>
      <c r="C472" s="29"/>
      <c r="D472" s="29"/>
      <c r="E472" s="29"/>
      <c r="F472" s="29"/>
      <c r="G472" s="29"/>
      <c r="H472" s="29"/>
      <c r="I472" s="29"/>
      <c r="J472" s="29"/>
      <c r="W472" s="29"/>
      <c r="X472" s="29"/>
      <c r="Y472" s="29"/>
      <c r="Z472" s="29"/>
      <c r="AA472" s="29"/>
      <c r="AD472" s="61" t="s">
        <v>251</v>
      </c>
      <c r="AL472" s="29"/>
      <c r="AM472" s="29"/>
      <c r="AT472" s="23"/>
      <c r="BT472" s="29"/>
    </row>
    <row r="473" spans="1:72" ht="12" thickBot="1">
      <c r="A473" s="29"/>
      <c r="B473" s="34"/>
      <c r="C473" s="29"/>
      <c r="D473" s="29"/>
      <c r="E473" s="29"/>
      <c r="F473" s="29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66" t="s">
        <v>42</v>
      </c>
      <c r="U473" s="66"/>
      <c r="V473" s="45"/>
      <c r="W473" s="45"/>
      <c r="X473" s="45"/>
      <c r="Y473" s="29"/>
      <c r="Z473" s="29"/>
      <c r="AA473" s="29"/>
      <c r="AC473" s="29" t="s">
        <v>49</v>
      </c>
      <c r="AD473" s="65">
        <v>21000</v>
      </c>
      <c r="AE473" s="65"/>
      <c r="AF473" s="29" t="s">
        <v>53</v>
      </c>
      <c r="AH473" s="29"/>
      <c r="AI473" s="29"/>
      <c r="AJ473" s="29"/>
      <c r="AK473" s="29"/>
      <c r="AT473" s="23"/>
      <c r="BT473" s="29"/>
    </row>
    <row r="474" spans="1:72" ht="12.75" thickBot="1" thickTop="1">
      <c r="A474" s="29"/>
      <c r="B474" s="34"/>
      <c r="C474" s="29"/>
      <c r="D474" s="29"/>
      <c r="E474" s="29"/>
      <c r="F474" s="29" t="s">
        <v>178</v>
      </c>
      <c r="G474" s="29"/>
      <c r="H474" s="29"/>
      <c r="I474" s="29"/>
      <c r="J474" s="29" t="s">
        <v>41</v>
      </c>
      <c r="K474" s="36"/>
      <c r="W474" s="29"/>
      <c r="X474" s="29"/>
      <c r="Y474" s="29" t="s">
        <v>32</v>
      </c>
      <c r="Z474" s="29"/>
      <c r="AA474" s="29"/>
      <c r="AB474" s="29"/>
      <c r="AC474" s="29" t="s">
        <v>50</v>
      </c>
      <c r="AD474" s="65">
        <v>5645</v>
      </c>
      <c r="AE474" s="65"/>
      <c r="AF474" s="29" t="s">
        <v>54</v>
      </c>
      <c r="AH474" s="29"/>
      <c r="AI474" s="29"/>
      <c r="AJ474" s="29"/>
      <c r="AK474" s="29"/>
      <c r="AT474" s="23"/>
      <c r="BT474" s="29"/>
    </row>
    <row r="475" spans="1:72" ht="12" thickTop="1">
      <c r="A475" s="29"/>
      <c r="B475" s="34"/>
      <c r="C475" s="29"/>
      <c r="D475" s="29"/>
      <c r="E475" s="29"/>
      <c r="F475" s="29"/>
      <c r="G475" s="29"/>
      <c r="H475" s="29"/>
      <c r="I475" s="29"/>
      <c r="J475" s="37"/>
      <c r="K475" s="37"/>
      <c r="N475" s="29"/>
      <c r="S475" s="29"/>
      <c r="T475" s="37"/>
      <c r="U475" s="37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T475" s="23"/>
      <c r="BT475" s="29"/>
    </row>
    <row r="476" spans="1:72" ht="11.25">
      <c r="A476" s="29"/>
      <c r="B476" s="34"/>
      <c r="C476" s="29"/>
      <c r="D476" s="29"/>
      <c r="E476" s="29"/>
      <c r="F476" s="29"/>
      <c r="G476" s="29" t="s">
        <v>26</v>
      </c>
      <c r="H476" s="65">
        <v>1.5</v>
      </c>
      <c r="I476" s="65"/>
      <c r="J476" s="29" t="s">
        <v>15</v>
      </c>
      <c r="N476" s="29" t="s">
        <v>25</v>
      </c>
      <c r="O476" s="65">
        <v>7.7</v>
      </c>
      <c r="P476" s="65"/>
      <c r="Q476" s="27" t="s">
        <v>15</v>
      </c>
      <c r="U476" s="54" t="s">
        <v>26</v>
      </c>
      <c r="V476" s="63">
        <f>+H476</f>
        <v>1.5</v>
      </c>
      <c r="W476" s="63"/>
      <c r="X476" s="27" t="s">
        <v>15</v>
      </c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T476" s="23"/>
      <c r="BT476" s="29"/>
    </row>
    <row r="477" spans="1:72" ht="11.25">
      <c r="A477" s="29"/>
      <c r="B477" s="34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S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T477" s="23"/>
      <c r="BT477" s="29"/>
    </row>
    <row r="478" spans="1:72" ht="11.25">
      <c r="A478" s="29"/>
      <c r="B478" s="34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38" t="s">
        <v>197</v>
      </c>
      <c r="AF478" s="29"/>
      <c r="AG478" s="29"/>
      <c r="AH478" s="29"/>
      <c r="AI478" s="29"/>
      <c r="AJ478" s="29"/>
      <c r="AK478" s="29"/>
      <c r="AL478" s="29"/>
      <c r="AM478" s="29"/>
      <c r="AT478" s="23"/>
      <c r="BT478" s="29"/>
    </row>
    <row r="479" spans="1:72" ht="11.25">
      <c r="A479" s="29"/>
      <c r="B479" s="34"/>
      <c r="C479" s="29"/>
      <c r="D479" s="29"/>
      <c r="E479" s="29"/>
      <c r="F479" s="29"/>
      <c r="G479" s="29"/>
      <c r="H479" s="29"/>
      <c r="I479" s="29"/>
      <c r="J479" s="29" t="s">
        <v>35</v>
      </c>
      <c r="K479" s="29"/>
      <c r="L479" s="29"/>
      <c r="M479" s="29"/>
      <c r="N479" s="29"/>
      <c r="O479" s="29"/>
      <c r="P479" s="29"/>
      <c r="Q479" s="29"/>
      <c r="R479" s="29"/>
      <c r="S479" s="29"/>
      <c r="T479" s="29" t="s">
        <v>36</v>
      </c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T479" s="23"/>
      <c r="BT479" s="29"/>
    </row>
    <row r="480" spans="1:72" ht="11.25">
      <c r="A480" s="29"/>
      <c r="B480" s="34"/>
      <c r="C480" s="29"/>
      <c r="D480" s="29"/>
      <c r="E480" s="29"/>
      <c r="F480" s="29"/>
      <c r="G480" s="29"/>
      <c r="H480" s="29"/>
      <c r="I480" s="29"/>
      <c r="J480" s="29"/>
      <c r="K480" s="29"/>
      <c r="L480" s="29" t="s">
        <v>43</v>
      </c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T480" s="23"/>
      <c r="BT480" s="29"/>
    </row>
    <row r="481" spans="1:72" ht="11.25">
      <c r="A481" s="29"/>
      <c r="B481" s="34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T481" s="23"/>
      <c r="BT481" s="29"/>
    </row>
    <row r="482" spans="1:72" ht="11.25">
      <c r="A482" s="29"/>
      <c r="B482" s="34"/>
      <c r="C482" s="29"/>
      <c r="D482" s="29" t="s">
        <v>105</v>
      </c>
      <c r="E482" s="29"/>
      <c r="F482" s="29"/>
      <c r="H482" s="63">
        <f>+F470</f>
        <v>25</v>
      </c>
      <c r="I482" s="63"/>
      <c r="J482" s="29" t="s">
        <v>55</v>
      </c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T482" s="23"/>
      <c r="BT482" s="29"/>
    </row>
    <row r="483" spans="1:72" ht="11.25">
      <c r="A483" s="29"/>
      <c r="B483" s="34"/>
      <c r="C483" s="29"/>
      <c r="D483" s="29" t="s">
        <v>176</v>
      </c>
      <c r="E483" s="29"/>
      <c r="F483" s="29"/>
      <c r="G483" s="29"/>
      <c r="I483" s="63">
        <f>+F470</f>
        <v>25</v>
      </c>
      <c r="J483" s="63"/>
      <c r="K483" s="36" t="s">
        <v>4</v>
      </c>
      <c r="L483" s="62">
        <f>+H476</f>
        <v>1.5</v>
      </c>
      <c r="M483" s="62"/>
      <c r="N483" s="36" t="s">
        <v>7</v>
      </c>
      <c r="O483" s="63">
        <f>+I483*L483</f>
        <v>37.5</v>
      </c>
      <c r="P483" s="63"/>
      <c r="Q483" s="29" t="s">
        <v>177</v>
      </c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T483" s="23"/>
      <c r="BT483" s="29"/>
    </row>
    <row r="484" spans="1:72" ht="11.25">
      <c r="A484" s="29"/>
      <c r="B484" s="34"/>
      <c r="C484" s="29"/>
      <c r="D484" s="29" t="s">
        <v>179</v>
      </c>
      <c r="E484" s="29"/>
      <c r="F484" s="29"/>
      <c r="G484" s="29"/>
      <c r="Q484" s="29"/>
      <c r="R484" s="63">
        <f>+F470</f>
        <v>25</v>
      </c>
      <c r="S484" s="63"/>
      <c r="T484" s="39" t="s">
        <v>4</v>
      </c>
      <c r="U484" s="63">
        <f>+O476*100</f>
        <v>770</v>
      </c>
      <c r="V484" s="63"/>
      <c r="W484" s="50" t="s">
        <v>180</v>
      </c>
      <c r="X484" s="29">
        <v>8</v>
      </c>
      <c r="Y484" s="39" t="s">
        <v>4</v>
      </c>
      <c r="Z484" s="63">
        <f>+AD473</f>
        <v>21000</v>
      </c>
      <c r="AA484" s="63"/>
      <c r="AB484" s="39" t="s">
        <v>4</v>
      </c>
      <c r="AC484" s="63">
        <f>+AD474</f>
        <v>5645</v>
      </c>
      <c r="AD484" s="63"/>
      <c r="AE484" s="29" t="s">
        <v>30</v>
      </c>
      <c r="AF484" s="63">
        <f>+H476*100</f>
        <v>150</v>
      </c>
      <c r="AG484" s="63"/>
      <c r="AH484" s="29" t="s">
        <v>6</v>
      </c>
      <c r="AI484" s="63">
        <f>+O476*100</f>
        <v>770</v>
      </c>
      <c r="AJ484" s="63"/>
      <c r="AK484" s="27" t="s">
        <v>31</v>
      </c>
      <c r="AL484" s="62">
        <f>+R484*U484^3/(X484*Z484*AC484)*(AF484/AI484)</f>
        <v>2.3444419840566875</v>
      </c>
      <c r="AM484" s="62"/>
      <c r="AN484" s="62"/>
      <c r="AO484" s="27" t="s">
        <v>51</v>
      </c>
      <c r="AT484" s="23"/>
      <c r="BT484" s="29"/>
    </row>
    <row r="485" spans="1:72" ht="11.25">
      <c r="A485" s="29"/>
      <c r="B485" s="34"/>
      <c r="C485" s="29"/>
      <c r="D485" s="29" t="s">
        <v>181</v>
      </c>
      <c r="E485" s="29"/>
      <c r="F485" s="29"/>
      <c r="G485" s="29"/>
      <c r="H485" s="29"/>
      <c r="I485" s="29"/>
      <c r="N485" s="63">
        <f>+O476</f>
        <v>7.7</v>
      </c>
      <c r="O485" s="63"/>
      <c r="P485" s="29" t="s">
        <v>6</v>
      </c>
      <c r="Q485" s="29">
        <v>2</v>
      </c>
      <c r="R485" s="39" t="s">
        <v>7</v>
      </c>
      <c r="S485" s="63">
        <f>+N485/Q485</f>
        <v>3.85</v>
      </c>
      <c r="T485" s="63"/>
      <c r="U485" s="29" t="s">
        <v>15</v>
      </c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T485" s="23"/>
      <c r="BT485" s="29"/>
    </row>
    <row r="486" spans="1:72" ht="11.25">
      <c r="A486" s="29"/>
      <c r="B486" s="34"/>
      <c r="C486" s="29"/>
      <c r="D486" s="29" t="s">
        <v>184</v>
      </c>
      <c r="E486" s="29"/>
      <c r="F486" s="29"/>
      <c r="G486" s="29"/>
      <c r="H486" s="29"/>
      <c r="I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AT486" s="23"/>
      <c r="BT486" s="29"/>
    </row>
    <row r="487" spans="1:72" ht="11.25">
      <c r="A487" s="29"/>
      <c r="B487" s="34"/>
      <c r="C487" s="29"/>
      <c r="D487" s="29" t="s">
        <v>164</v>
      </c>
      <c r="E487" s="63">
        <f>+F470</f>
        <v>25</v>
      </c>
      <c r="F487" s="63"/>
      <c r="G487" s="39" t="s">
        <v>4</v>
      </c>
      <c r="H487" s="63">
        <f>+O476*100</f>
        <v>770</v>
      </c>
      <c r="I487" s="63"/>
      <c r="J487" s="50" t="s">
        <v>180</v>
      </c>
      <c r="K487" s="29">
        <v>6</v>
      </c>
      <c r="L487" s="39" t="s">
        <v>4</v>
      </c>
      <c r="M487" s="63">
        <f>+AD473</f>
        <v>21000</v>
      </c>
      <c r="N487" s="63"/>
      <c r="O487" s="39" t="s">
        <v>4</v>
      </c>
      <c r="P487" s="63">
        <f>+AD474</f>
        <v>5645</v>
      </c>
      <c r="Q487" s="63"/>
      <c r="R487" s="29" t="s">
        <v>30</v>
      </c>
      <c r="S487" s="27">
        <v>3</v>
      </c>
      <c r="T487" s="27" t="s">
        <v>28</v>
      </c>
      <c r="U487" s="62">
        <f>+H476*100</f>
        <v>150</v>
      </c>
      <c r="V487" s="62"/>
      <c r="W487" s="27" t="s">
        <v>6</v>
      </c>
      <c r="X487" s="62">
        <f>+O476*100</f>
        <v>770</v>
      </c>
      <c r="Y487" s="62"/>
      <c r="Z487" s="27" t="s">
        <v>182</v>
      </c>
      <c r="AA487" s="27">
        <v>2</v>
      </c>
      <c r="AB487" s="27" t="s">
        <v>28</v>
      </c>
      <c r="AC487" s="62">
        <f>+U487</f>
        <v>150</v>
      </c>
      <c r="AD487" s="62"/>
      <c r="AE487" s="27" t="s">
        <v>6</v>
      </c>
      <c r="AF487" s="62">
        <f>+X487</f>
        <v>770</v>
      </c>
      <c r="AG487" s="62"/>
      <c r="AH487" s="27" t="s">
        <v>183</v>
      </c>
      <c r="AJ487" s="62">
        <f>+E487*H487^3/(K487*M487*P487)*(S487*(U487/X487)^2+AA487*(AC487/AF487)^3)</f>
        <v>2.0640895862330764</v>
      </c>
      <c r="AK487" s="62"/>
      <c r="AL487" s="62"/>
      <c r="AM487" s="27" t="s">
        <v>51</v>
      </c>
      <c r="AT487" s="23"/>
      <c r="BT487" s="29"/>
    </row>
    <row r="488" spans="1:72" ht="12" thickBot="1">
      <c r="A488" s="29"/>
      <c r="B488" s="44"/>
      <c r="C488" s="45"/>
      <c r="D488" s="45"/>
      <c r="E488" s="45"/>
      <c r="F488" s="45"/>
      <c r="G488" s="45"/>
      <c r="H488" s="45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9"/>
      <c r="BT488" s="29"/>
    </row>
    <row r="489" spans="1:72" ht="12" thickTop="1">
      <c r="A489" s="29"/>
      <c r="B489" s="30"/>
      <c r="C489" s="31"/>
      <c r="D489" s="31"/>
      <c r="E489" s="31"/>
      <c r="F489" s="31"/>
      <c r="G489" s="31"/>
      <c r="H489" s="31"/>
      <c r="I489" s="31"/>
      <c r="J489" s="32"/>
      <c r="K489" s="32"/>
      <c r="L489" s="32"/>
      <c r="M489" s="32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E489" s="31"/>
      <c r="AF489" s="31"/>
      <c r="AG489" s="31"/>
      <c r="AH489" s="31"/>
      <c r="AI489" s="31"/>
      <c r="AJ489" s="31"/>
      <c r="AK489" s="32"/>
      <c r="AL489" s="32"/>
      <c r="AM489" s="32"/>
      <c r="AN489" s="32"/>
      <c r="AO489" s="32"/>
      <c r="AP489" s="32"/>
      <c r="AQ489" s="32"/>
      <c r="AR489" s="32"/>
      <c r="AS489" s="32"/>
      <c r="AT489" s="33"/>
      <c r="BT489" s="29"/>
    </row>
    <row r="490" spans="1:72" ht="11.25">
      <c r="A490" s="29"/>
      <c r="B490" s="34"/>
      <c r="C490" s="29"/>
      <c r="D490" s="29"/>
      <c r="E490" s="29"/>
      <c r="F490" s="29"/>
      <c r="G490" s="29"/>
      <c r="H490" s="29"/>
      <c r="I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T490" s="23"/>
      <c r="BT490" s="29"/>
    </row>
    <row r="491" spans="1:72" ht="11.25">
      <c r="A491" s="29"/>
      <c r="B491" s="34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7" t="s">
        <v>24</v>
      </c>
      <c r="N491" s="65">
        <v>2.56</v>
      </c>
      <c r="O491" s="65"/>
      <c r="P491" s="27" t="s">
        <v>69</v>
      </c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T491" s="23"/>
      <c r="BT491" s="29"/>
    </row>
    <row r="492" spans="1:72" ht="11.25">
      <c r="A492" s="29"/>
      <c r="B492" s="34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T492" s="23"/>
      <c r="BT492" s="29"/>
    </row>
    <row r="493" spans="1:72" ht="11.25">
      <c r="A493" s="29"/>
      <c r="B493" s="34"/>
      <c r="C493" s="29"/>
      <c r="D493" s="29"/>
      <c r="E493" s="29"/>
      <c r="F493" s="29"/>
      <c r="G493" s="29"/>
      <c r="H493" s="29"/>
      <c r="I493" s="29"/>
      <c r="J493" s="29"/>
      <c r="W493" s="29"/>
      <c r="X493" s="29"/>
      <c r="Y493" s="29"/>
      <c r="Z493" s="29"/>
      <c r="AA493" s="29"/>
      <c r="AD493" s="61" t="s">
        <v>251</v>
      </c>
      <c r="AL493" s="29"/>
      <c r="AM493" s="29"/>
      <c r="AT493" s="23"/>
      <c r="BT493" s="29"/>
    </row>
    <row r="494" spans="1:72" ht="12" thickBot="1">
      <c r="A494" s="29"/>
      <c r="B494" s="34"/>
      <c r="C494" s="29"/>
      <c r="D494" s="29"/>
      <c r="E494" s="29"/>
      <c r="F494" s="29"/>
      <c r="G494" s="57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35"/>
      <c r="Z494" s="29"/>
      <c r="AA494" s="29"/>
      <c r="AC494" s="29" t="s">
        <v>49</v>
      </c>
      <c r="AD494" s="65">
        <v>21000</v>
      </c>
      <c r="AE494" s="65"/>
      <c r="AF494" s="29" t="s">
        <v>53</v>
      </c>
      <c r="AH494" s="29"/>
      <c r="AI494" s="29"/>
      <c r="AJ494" s="29"/>
      <c r="AK494" s="29"/>
      <c r="AT494" s="23"/>
      <c r="BT494" s="29"/>
    </row>
    <row r="495" spans="1:72" ht="12.75" thickBot="1" thickTop="1">
      <c r="A495" s="29"/>
      <c r="B495" s="34"/>
      <c r="C495" s="29"/>
      <c r="D495" s="29"/>
      <c r="E495" s="29"/>
      <c r="F495" s="29" t="s">
        <v>178</v>
      </c>
      <c r="G495" s="29"/>
      <c r="H495" s="29"/>
      <c r="I495" s="29"/>
      <c r="J495" s="29" t="s">
        <v>41</v>
      </c>
      <c r="K495" s="36"/>
      <c r="T495" s="27" t="s">
        <v>42</v>
      </c>
      <c r="W495" s="29"/>
      <c r="X495" s="29"/>
      <c r="Y495" s="29" t="s">
        <v>32</v>
      </c>
      <c r="Z495" s="29"/>
      <c r="AA495" s="29"/>
      <c r="AB495" s="29"/>
      <c r="AC495" s="29" t="s">
        <v>50</v>
      </c>
      <c r="AD495" s="65">
        <v>5645</v>
      </c>
      <c r="AE495" s="65"/>
      <c r="AF495" s="29" t="s">
        <v>54</v>
      </c>
      <c r="AH495" s="29"/>
      <c r="AI495" s="29"/>
      <c r="AJ495" s="29"/>
      <c r="AK495" s="29"/>
      <c r="AT495" s="23"/>
      <c r="BT495" s="29"/>
    </row>
    <row r="496" spans="1:72" ht="12" thickTop="1">
      <c r="A496" s="29"/>
      <c r="B496" s="34"/>
      <c r="C496" s="29"/>
      <c r="D496" s="29"/>
      <c r="E496" s="29"/>
      <c r="F496" s="29"/>
      <c r="G496" s="29"/>
      <c r="H496" s="29"/>
      <c r="I496" s="29"/>
      <c r="J496" s="37"/>
      <c r="K496" s="37"/>
      <c r="N496" s="29"/>
      <c r="S496" s="29"/>
      <c r="T496" s="37"/>
      <c r="U496" s="37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T496" s="23"/>
      <c r="BT496" s="29"/>
    </row>
    <row r="497" spans="1:72" ht="11.25">
      <c r="A497" s="29"/>
      <c r="B497" s="34"/>
      <c r="C497" s="29"/>
      <c r="D497" s="29"/>
      <c r="E497" s="29"/>
      <c r="F497" s="29"/>
      <c r="G497" s="29" t="s">
        <v>26</v>
      </c>
      <c r="H497" s="65">
        <v>1.5</v>
      </c>
      <c r="I497" s="65"/>
      <c r="J497" s="29" t="s">
        <v>15</v>
      </c>
      <c r="N497" s="29" t="s">
        <v>25</v>
      </c>
      <c r="O497" s="65">
        <v>3.5</v>
      </c>
      <c r="P497" s="65"/>
      <c r="Q497" s="27" t="s">
        <v>15</v>
      </c>
      <c r="U497" s="54" t="s">
        <v>26</v>
      </c>
      <c r="V497" s="63">
        <f>+H497</f>
        <v>1.5</v>
      </c>
      <c r="W497" s="63"/>
      <c r="X497" s="27" t="s">
        <v>15</v>
      </c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T497" s="23"/>
      <c r="BT497" s="29"/>
    </row>
    <row r="498" spans="1:72" ht="11.25">
      <c r="A498" s="29"/>
      <c r="B498" s="34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S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T498" s="23"/>
      <c r="BT498" s="29"/>
    </row>
    <row r="499" spans="1:72" ht="11.25">
      <c r="A499" s="29"/>
      <c r="B499" s="34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38" t="s">
        <v>197</v>
      </c>
      <c r="AF499" s="29"/>
      <c r="AG499" s="29"/>
      <c r="AH499" s="29"/>
      <c r="AI499" s="29"/>
      <c r="AJ499" s="29"/>
      <c r="AK499" s="29"/>
      <c r="AL499" s="29"/>
      <c r="AM499" s="29"/>
      <c r="AT499" s="23"/>
      <c r="BT499" s="29"/>
    </row>
    <row r="500" spans="1:72" ht="11.25">
      <c r="A500" s="29"/>
      <c r="B500" s="34"/>
      <c r="C500" s="29"/>
      <c r="D500" s="29"/>
      <c r="E500" s="29"/>
      <c r="F500" s="29"/>
      <c r="G500" s="29"/>
      <c r="H500" s="29"/>
      <c r="I500" s="29"/>
      <c r="J500" s="29" t="s">
        <v>35</v>
      </c>
      <c r="K500" s="29"/>
      <c r="L500" s="29"/>
      <c r="M500" s="29"/>
      <c r="N500" s="29"/>
      <c r="O500" s="29"/>
      <c r="P500" s="29"/>
      <c r="Q500" s="29"/>
      <c r="R500" s="29"/>
      <c r="S500" s="29"/>
      <c r="T500" s="29" t="s">
        <v>36</v>
      </c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T500" s="23"/>
      <c r="BT500" s="29"/>
    </row>
    <row r="501" spans="1:72" ht="11.25">
      <c r="A501" s="29"/>
      <c r="B501" s="34"/>
      <c r="C501" s="29"/>
      <c r="D501" s="29"/>
      <c r="E501" s="29"/>
      <c r="F501" s="29"/>
      <c r="G501" s="29"/>
      <c r="H501" s="29"/>
      <c r="I501" s="29"/>
      <c r="J501" s="29"/>
      <c r="K501" s="29"/>
      <c r="L501" s="29" t="s">
        <v>43</v>
      </c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T501" s="23"/>
      <c r="BT501" s="29"/>
    </row>
    <row r="502" spans="1:72" ht="11.25">
      <c r="A502" s="29"/>
      <c r="B502" s="34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T502" s="23"/>
      <c r="BT502" s="29"/>
    </row>
    <row r="503" spans="2:46" ht="11.25">
      <c r="B503" s="59"/>
      <c r="D503" s="29" t="s">
        <v>185</v>
      </c>
      <c r="E503" s="29"/>
      <c r="F503" s="29"/>
      <c r="G503" s="29"/>
      <c r="H503" s="29"/>
      <c r="I503" s="29"/>
      <c r="O503" s="62">
        <f>+N491</f>
        <v>2.56</v>
      </c>
      <c r="P503" s="62"/>
      <c r="Q503" s="39" t="s">
        <v>4</v>
      </c>
      <c r="R503" s="63">
        <f>+O497</f>
        <v>3.5</v>
      </c>
      <c r="S503" s="63"/>
      <c r="T503" s="29" t="s">
        <v>6</v>
      </c>
      <c r="U503" s="29">
        <v>2</v>
      </c>
      <c r="V503" s="29" t="s">
        <v>28</v>
      </c>
      <c r="W503" s="29">
        <v>1</v>
      </c>
      <c r="X503" s="29" t="s">
        <v>186</v>
      </c>
      <c r="Y503" s="27">
        <v>2</v>
      </c>
      <c r="Z503" s="27" t="s">
        <v>28</v>
      </c>
      <c r="AA503" s="63">
        <f>+H497</f>
        <v>1.5</v>
      </c>
      <c r="AB503" s="63"/>
      <c r="AC503" s="29" t="s">
        <v>6</v>
      </c>
      <c r="AD503" s="63">
        <f>+O497</f>
        <v>3.5</v>
      </c>
      <c r="AE503" s="63"/>
      <c r="AF503" s="29" t="s">
        <v>187</v>
      </c>
      <c r="AH503" s="63">
        <f>+O503*R503/U503*(W503+Y503*(AA503/AD503))</f>
        <v>8.32</v>
      </c>
      <c r="AI503" s="63"/>
      <c r="AJ503" s="29" t="s">
        <v>55</v>
      </c>
      <c r="AT503" s="23"/>
    </row>
    <row r="504" spans="2:46" ht="11.25">
      <c r="B504" s="59"/>
      <c r="D504" s="29" t="s">
        <v>157</v>
      </c>
      <c r="E504" s="29"/>
      <c r="F504" s="29"/>
      <c r="G504" s="29"/>
      <c r="H504" s="29"/>
      <c r="I504" s="29"/>
      <c r="M504" s="36"/>
      <c r="N504" s="36"/>
      <c r="O504" s="39"/>
      <c r="P504" s="39"/>
      <c r="Q504" s="39"/>
      <c r="R504" s="29"/>
      <c r="S504" s="29"/>
      <c r="T504" s="29"/>
      <c r="U504" s="29"/>
      <c r="V504" s="29"/>
      <c r="W504" s="39"/>
      <c r="X504" s="39"/>
      <c r="Y504" s="29"/>
      <c r="Z504" s="39"/>
      <c r="AA504" s="39"/>
      <c r="AB504" s="29"/>
      <c r="AC504" s="29"/>
      <c r="AD504" s="39"/>
      <c r="AE504" s="39"/>
      <c r="AF504" s="29"/>
      <c r="AT504" s="23"/>
    </row>
    <row r="505" spans="2:46" ht="11.25">
      <c r="B505" s="59"/>
      <c r="D505" s="29" t="s">
        <v>188</v>
      </c>
      <c r="E505" s="29"/>
      <c r="F505" s="29"/>
      <c r="G505" s="29"/>
      <c r="H505" s="29"/>
      <c r="I505" s="29"/>
      <c r="N505" s="62">
        <f>+N491</f>
        <v>2.56</v>
      </c>
      <c r="O505" s="62"/>
      <c r="P505" s="39" t="s">
        <v>4</v>
      </c>
      <c r="Q505" s="63">
        <f>+O497</f>
        <v>3.5</v>
      </c>
      <c r="R505" s="63"/>
      <c r="S505" s="29" t="s">
        <v>23</v>
      </c>
      <c r="T505" s="29">
        <v>8</v>
      </c>
      <c r="U505" s="29" t="s">
        <v>28</v>
      </c>
      <c r="V505" s="29">
        <v>1</v>
      </c>
      <c r="W505" s="36" t="s">
        <v>5</v>
      </c>
      <c r="X505" s="27">
        <v>4</v>
      </c>
      <c r="Y505" s="27" t="s">
        <v>28</v>
      </c>
      <c r="Z505" s="63">
        <f>+H497</f>
        <v>1.5</v>
      </c>
      <c r="AA505" s="63"/>
      <c r="AB505" s="29" t="s">
        <v>6</v>
      </c>
      <c r="AC505" s="63">
        <f>+O497</f>
        <v>3.5</v>
      </c>
      <c r="AD505" s="63"/>
      <c r="AE505" s="27" t="s">
        <v>160</v>
      </c>
      <c r="AG505" s="63">
        <f>+N505*Q505^2/T505*(V505-X505*(Z505/AC505)^2)</f>
        <v>1.0400000000000003</v>
      </c>
      <c r="AH505" s="63"/>
      <c r="AI505" s="29" t="s">
        <v>156</v>
      </c>
      <c r="AT505" s="23"/>
    </row>
    <row r="506" spans="2:46" ht="11.25">
      <c r="B506" s="59"/>
      <c r="D506" s="29" t="s">
        <v>189</v>
      </c>
      <c r="P506" s="62">
        <f>+O497</f>
        <v>3.5</v>
      </c>
      <c r="Q506" s="62"/>
      <c r="R506" s="27" t="s">
        <v>6</v>
      </c>
      <c r="S506" s="27">
        <v>2</v>
      </c>
      <c r="T506" s="36" t="s">
        <v>7</v>
      </c>
      <c r="U506" s="62">
        <f>+P506/S506</f>
        <v>1.75</v>
      </c>
      <c r="V506" s="62"/>
      <c r="W506" s="27" t="s">
        <v>15</v>
      </c>
      <c r="AB506" s="29"/>
      <c r="AC506" s="29"/>
      <c r="AT506" s="23"/>
    </row>
    <row r="507" spans="2:46" ht="11.25">
      <c r="B507" s="59"/>
      <c r="D507" s="29" t="s">
        <v>190</v>
      </c>
      <c r="E507" s="29"/>
      <c r="F507" s="29"/>
      <c r="G507" s="29"/>
      <c r="H507" s="29"/>
      <c r="J507" s="63">
        <f>+N491</f>
        <v>2.56</v>
      </c>
      <c r="K507" s="63"/>
      <c r="L507" s="36" t="s">
        <v>4</v>
      </c>
      <c r="M507" s="62">
        <f>+H497</f>
        <v>1.5</v>
      </c>
      <c r="N507" s="62"/>
      <c r="O507" s="29" t="s">
        <v>23</v>
      </c>
      <c r="P507" s="29">
        <v>2</v>
      </c>
      <c r="Q507" s="39" t="s">
        <v>7</v>
      </c>
      <c r="R507" s="63">
        <f>+J507*M507^2/P507</f>
        <v>2.88</v>
      </c>
      <c r="S507" s="63"/>
      <c r="T507" s="29" t="s">
        <v>162</v>
      </c>
      <c r="U507" s="29"/>
      <c r="V507" s="29"/>
      <c r="W507" s="29"/>
      <c r="AT507" s="23"/>
    </row>
    <row r="508" spans="2:46" ht="11.25">
      <c r="B508" s="59"/>
      <c r="D508" s="29" t="s">
        <v>195</v>
      </c>
      <c r="E508" s="29"/>
      <c r="F508" s="29"/>
      <c r="G508" s="29"/>
      <c r="H508" s="29"/>
      <c r="I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T508" s="23"/>
    </row>
    <row r="509" spans="2:46" ht="11.25">
      <c r="B509" s="59"/>
      <c r="D509" s="29" t="s">
        <v>164</v>
      </c>
      <c r="E509" s="63">
        <f>+N491/100</f>
        <v>0.0256</v>
      </c>
      <c r="F509" s="63"/>
      <c r="G509" s="39" t="s">
        <v>4</v>
      </c>
      <c r="H509" s="63">
        <f>+O497*100</f>
        <v>350</v>
      </c>
      <c r="I509" s="63"/>
      <c r="J509" s="48" t="s">
        <v>165</v>
      </c>
      <c r="K509" s="27">
        <v>24</v>
      </c>
      <c r="L509" s="36" t="s">
        <v>4</v>
      </c>
      <c r="M509" s="63">
        <f>+AD494</f>
        <v>21000</v>
      </c>
      <c r="N509" s="63"/>
      <c r="O509" s="39" t="s">
        <v>4</v>
      </c>
      <c r="P509" s="63">
        <f>+AD495</f>
        <v>5645</v>
      </c>
      <c r="Q509" s="63"/>
      <c r="R509" s="29" t="s">
        <v>166</v>
      </c>
      <c r="S509" s="29"/>
      <c r="T509" s="63">
        <f>+H497*100</f>
        <v>150</v>
      </c>
      <c r="U509" s="63"/>
      <c r="V509" s="29" t="s">
        <v>6</v>
      </c>
      <c r="W509" s="63">
        <f>+O497*100</f>
        <v>350</v>
      </c>
      <c r="X509" s="63"/>
      <c r="Y509" s="29" t="s">
        <v>34</v>
      </c>
      <c r="Z509" s="29">
        <v>6</v>
      </c>
      <c r="AA509" s="29" t="s">
        <v>28</v>
      </c>
      <c r="AB509" s="63">
        <f>+T509</f>
        <v>150</v>
      </c>
      <c r="AC509" s="63"/>
      <c r="AD509" s="29" t="s">
        <v>6</v>
      </c>
      <c r="AE509" s="63">
        <f>+W509</f>
        <v>350</v>
      </c>
      <c r="AF509" s="63"/>
      <c r="AG509" s="29" t="s">
        <v>167</v>
      </c>
      <c r="AH509" s="29">
        <v>3</v>
      </c>
      <c r="AI509" s="29" t="s">
        <v>28</v>
      </c>
      <c r="AJ509" s="63">
        <f>+AB509</f>
        <v>150</v>
      </c>
      <c r="AK509" s="63"/>
      <c r="AL509" s="29" t="s">
        <v>6</v>
      </c>
      <c r="AM509" s="63">
        <f>+AE509</f>
        <v>350</v>
      </c>
      <c r="AN509" s="63"/>
      <c r="AO509" s="27" t="s">
        <v>168</v>
      </c>
      <c r="AQ509" s="64">
        <f>+E509*H509^4/(K509*M509*P509)*(-(T509/W509)+Z509*(AB509/AE509)^3+AH509*(AJ509/AM509)^4)</f>
        <v>0.019570627187987678</v>
      </c>
      <c r="AR509" s="64"/>
      <c r="AS509" s="64"/>
      <c r="AT509" s="23" t="s">
        <v>51</v>
      </c>
    </row>
    <row r="510" spans="2:46" ht="11.25">
      <c r="B510" s="59"/>
      <c r="D510" s="29" t="s">
        <v>191</v>
      </c>
      <c r="E510" s="29"/>
      <c r="F510" s="29"/>
      <c r="G510" s="29"/>
      <c r="H510" s="29"/>
      <c r="I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T510" s="23"/>
    </row>
    <row r="511" spans="2:46" ht="11.25">
      <c r="B511" s="59"/>
      <c r="D511" s="27" t="s">
        <v>196</v>
      </c>
      <c r="I511" s="29" t="s">
        <v>170</v>
      </c>
      <c r="J511" s="65">
        <v>1.75</v>
      </c>
      <c r="K511" s="65"/>
      <c r="L511" s="29" t="s">
        <v>171</v>
      </c>
      <c r="M511" s="29"/>
      <c r="N511" s="29"/>
      <c r="Q511" s="58">
        <f>IF(J511&gt;O497,"x 'e L uzunluğundan büyük sayı giremezsiniz.","")</f>
      </c>
      <c r="R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T511" s="23"/>
    </row>
    <row r="512" spans="2:46" ht="11.25">
      <c r="B512" s="59"/>
      <c r="D512" s="29" t="s">
        <v>164</v>
      </c>
      <c r="E512" s="63">
        <f>+N491/100</f>
        <v>0.0256</v>
      </c>
      <c r="F512" s="63"/>
      <c r="G512" s="39" t="s">
        <v>4</v>
      </c>
      <c r="H512" s="63">
        <f>+O497*100</f>
        <v>350</v>
      </c>
      <c r="I512" s="63"/>
      <c r="J512" s="48" t="s">
        <v>165</v>
      </c>
      <c r="K512" s="27">
        <v>24</v>
      </c>
      <c r="L512" s="36" t="s">
        <v>4</v>
      </c>
      <c r="M512" s="63">
        <f>+AD494</f>
        <v>21000</v>
      </c>
      <c r="N512" s="63"/>
      <c r="O512" s="39" t="s">
        <v>4</v>
      </c>
      <c r="P512" s="63">
        <f>+AD495</f>
        <v>5645</v>
      </c>
      <c r="Q512" s="63"/>
      <c r="R512" s="29" t="s">
        <v>172</v>
      </c>
      <c r="S512" s="29"/>
      <c r="T512" s="29">
        <v>1</v>
      </c>
      <c r="U512" s="39" t="s">
        <v>5</v>
      </c>
      <c r="V512" s="29">
        <v>6</v>
      </c>
      <c r="W512" s="29" t="s">
        <v>28</v>
      </c>
      <c r="X512" s="63">
        <f>+H497*100</f>
        <v>150</v>
      </c>
      <c r="Y512" s="63"/>
      <c r="Z512" s="29" t="s">
        <v>6</v>
      </c>
      <c r="AA512" s="63">
        <f>+O497*100</f>
        <v>350</v>
      </c>
      <c r="AB512" s="63"/>
      <c r="AC512" s="29" t="s">
        <v>173</v>
      </c>
      <c r="AD512" s="29"/>
      <c r="AE512" s="63">
        <f>+J511*100</f>
        <v>175</v>
      </c>
      <c r="AF512" s="63"/>
      <c r="AG512" s="29" t="s">
        <v>6</v>
      </c>
      <c r="AH512" s="63">
        <f>+O497*100</f>
        <v>350</v>
      </c>
      <c r="AI512" s="63"/>
      <c r="AJ512" s="29" t="s">
        <v>34</v>
      </c>
      <c r="AK512" s="27">
        <v>6</v>
      </c>
      <c r="AL512" s="27" t="s">
        <v>28</v>
      </c>
      <c r="AM512" s="63">
        <f>+H497*100</f>
        <v>150</v>
      </c>
      <c r="AN512" s="63"/>
      <c r="AO512" s="29" t="s">
        <v>6</v>
      </c>
      <c r="AP512" s="62">
        <f>+O497*100</f>
        <v>350</v>
      </c>
      <c r="AQ512" s="62"/>
      <c r="AR512" s="27" t="s">
        <v>192</v>
      </c>
      <c r="AT512" s="23"/>
    </row>
    <row r="513" spans="2:46" ht="11.25">
      <c r="B513" s="59"/>
      <c r="D513" s="29"/>
      <c r="E513" s="63">
        <f>+J511*100</f>
        <v>175</v>
      </c>
      <c r="F513" s="63"/>
      <c r="G513" s="27" t="s">
        <v>6</v>
      </c>
      <c r="H513" s="62">
        <f>+O497*100</f>
        <v>350</v>
      </c>
      <c r="I513" s="62"/>
      <c r="J513" s="27" t="s">
        <v>193</v>
      </c>
      <c r="K513" s="27">
        <v>2</v>
      </c>
      <c r="L513" s="27" t="s">
        <v>28</v>
      </c>
      <c r="M513" s="63">
        <f>+E513</f>
        <v>175</v>
      </c>
      <c r="N513" s="63"/>
      <c r="O513" s="27" t="s">
        <v>6</v>
      </c>
      <c r="P513" s="62">
        <f>+H513</f>
        <v>350</v>
      </c>
      <c r="Q513" s="62"/>
      <c r="R513" s="27" t="s">
        <v>194</v>
      </c>
      <c r="T513" s="63">
        <f>+J511*100</f>
        <v>175</v>
      </c>
      <c r="U513" s="63"/>
      <c r="V513" s="29" t="s">
        <v>6</v>
      </c>
      <c r="W513" s="63">
        <f>+O497*100</f>
        <v>350</v>
      </c>
      <c r="X513" s="63"/>
      <c r="Y513" s="27" t="s">
        <v>175</v>
      </c>
      <c r="AA513" s="62">
        <f>E512*H512^4/(K512*M512*P512)*((T512-V512*(X512/AA512)^2)*(AE512/AH512)+AK512*(AM512/AP512)^2*(E513/H513)^2-K513*(M513/P513)^3+(T513/W513)^4)</f>
        <v>0.0049945871469343605</v>
      </c>
      <c r="AB513" s="62"/>
      <c r="AC513" s="62"/>
      <c r="AD513" s="27" t="s">
        <v>51</v>
      </c>
      <c r="AE513" s="29"/>
      <c r="AF513" s="29"/>
      <c r="AG513" s="29"/>
      <c r="AH513" s="29"/>
      <c r="AI513" s="29"/>
      <c r="AJ513" s="29"/>
      <c r="AT513" s="23"/>
    </row>
    <row r="514" spans="2:46" ht="12" thickBot="1">
      <c r="B514" s="42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9"/>
    </row>
    <row r="515" spans="2:46" ht="12" thickTop="1">
      <c r="B515" s="60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3"/>
    </row>
    <row r="516" spans="2:46" ht="11.25">
      <c r="B516" s="59"/>
      <c r="C516" s="29"/>
      <c r="D516" s="29"/>
      <c r="E516" s="29"/>
      <c r="F516" s="29"/>
      <c r="G516" s="29"/>
      <c r="H516" s="29"/>
      <c r="I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T516" s="23"/>
    </row>
    <row r="517" spans="2:46" ht="11.25">
      <c r="B517" s="59"/>
      <c r="C517" s="29"/>
      <c r="D517" s="29"/>
      <c r="E517" s="29"/>
      <c r="F517" s="29"/>
      <c r="G517" s="29"/>
      <c r="H517" s="29"/>
      <c r="I517" s="29"/>
      <c r="N517" s="29"/>
      <c r="O517" s="29"/>
      <c r="P517" s="29"/>
      <c r="Q517" s="27" t="s">
        <v>77</v>
      </c>
      <c r="R517" s="65">
        <v>25</v>
      </c>
      <c r="S517" s="65"/>
      <c r="T517" s="27" t="s">
        <v>55</v>
      </c>
      <c r="U517" s="29"/>
      <c r="V517" s="29"/>
      <c r="W517" s="29"/>
      <c r="AT517" s="23"/>
    </row>
    <row r="518" spans="2:46" ht="11.25">
      <c r="B518" s="5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AT518" s="23"/>
    </row>
    <row r="519" spans="2:46" ht="11.25">
      <c r="B519" s="59"/>
      <c r="C519" s="29"/>
      <c r="D519" s="29"/>
      <c r="E519" s="24"/>
      <c r="R519" s="29"/>
      <c r="S519" s="29"/>
      <c r="T519" s="29"/>
      <c r="U519" s="29"/>
      <c r="V519" s="29"/>
      <c r="Y519" s="61" t="s">
        <v>251</v>
      </c>
      <c r="AG519" s="29"/>
      <c r="AH519" s="29"/>
      <c r="AI519" s="29"/>
      <c r="AJ519" s="29"/>
      <c r="AT519" s="23"/>
    </row>
    <row r="520" spans="2:46" ht="12" thickBot="1">
      <c r="B520" s="59"/>
      <c r="C520" s="29"/>
      <c r="D520" s="29"/>
      <c r="E520" s="24"/>
      <c r="F520" s="44"/>
      <c r="G520" s="45"/>
      <c r="H520" s="45"/>
      <c r="I520" s="45"/>
      <c r="J520" s="45"/>
      <c r="K520" s="45"/>
      <c r="L520" s="45"/>
      <c r="M520" s="45"/>
      <c r="N520" s="45"/>
      <c r="O520" s="66" t="s">
        <v>42</v>
      </c>
      <c r="P520" s="66"/>
      <c r="Q520" s="45"/>
      <c r="R520" s="45"/>
      <c r="S520" s="45"/>
      <c r="T520" s="29"/>
      <c r="U520" s="29"/>
      <c r="V520" s="29"/>
      <c r="X520" s="29" t="s">
        <v>49</v>
      </c>
      <c r="Y520" s="65">
        <v>21000</v>
      </c>
      <c r="Z520" s="65"/>
      <c r="AA520" s="29" t="s">
        <v>53</v>
      </c>
      <c r="AC520" s="29"/>
      <c r="AD520" s="29"/>
      <c r="AE520" s="29"/>
      <c r="AF520" s="29"/>
      <c r="AK520" s="29"/>
      <c r="AT520" s="23"/>
    </row>
    <row r="521" spans="2:46" ht="12.75" thickBot="1" thickTop="1">
      <c r="B521" s="59"/>
      <c r="C521" s="29"/>
      <c r="D521" s="29"/>
      <c r="E521" s="24"/>
      <c r="F521" s="36" t="s">
        <v>41</v>
      </c>
      <c r="R521" s="29"/>
      <c r="S521" s="29"/>
      <c r="T521" s="29" t="s">
        <v>32</v>
      </c>
      <c r="U521" s="29"/>
      <c r="V521" s="29"/>
      <c r="W521" s="29"/>
      <c r="X521" s="29" t="s">
        <v>50</v>
      </c>
      <c r="Y521" s="65">
        <v>5645</v>
      </c>
      <c r="Z521" s="65"/>
      <c r="AA521" s="29" t="s">
        <v>54</v>
      </c>
      <c r="AC521" s="29"/>
      <c r="AD521" s="29"/>
      <c r="AE521" s="29"/>
      <c r="AF521" s="29"/>
      <c r="AK521" s="29"/>
      <c r="AT521" s="23"/>
    </row>
    <row r="522" spans="2:46" ht="12" thickTop="1">
      <c r="B522" s="59"/>
      <c r="C522" s="29" t="s">
        <v>20</v>
      </c>
      <c r="D522" s="29"/>
      <c r="E522" s="29"/>
      <c r="F522" s="29"/>
      <c r="I522" s="29"/>
      <c r="N522" s="29"/>
      <c r="O522" s="37"/>
      <c r="P522" s="37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T522" s="23"/>
    </row>
    <row r="523" spans="2:46" ht="11.25">
      <c r="B523" s="59"/>
      <c r="C523" s="29"/>
      <c r="D523" s="29"/>
      <c r="E523" s="29"/>
      <c r="I523" s="29" t="s">
        <v>25</v>
      </c>
      <c r="J523" s="65">
        <v>7.7</v>
      </c>
      <c r="K523" s="65"/>
      <c r="L523" s="27" t="s">
        <v>15</v>
      </c>
      <c r="P523" s="54" t="s">
        <v>26</v>
      </c>
      <c r="Q523" s="65">
        <v>1.5</v>
      </c>
      <c r="R523" s="65"/>
      <c r="S523" s="27" t="s">
        <v>15</v>
      </c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T523" s="23"/>
    </row>
    <row r="524" spans="2:46" ht="11.25">
      <c r="B524" s="59"/>
      <c r="C524" s="29"/>
      <c r="D524" s="29"/>
      <c r="E524" s="29"/>
      <c r="F524" s="29"/>
      <c r="G524" s="29"/>
      <c r="H524" s="29"/>
      <c r="I524" s="29"/>
      <c r="J524" s="29"/>
      <c r="N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T524" s="23"/>
    </row>
    <row r="525" spans="2:46" ht="11.25">
      <c r="B525" s="5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38" t="s">
        <v>197</v>
      </c>
      <c r="AE525" s="29"/>
      <c r="AF525" s="29"/>
      <c r="AG525" s="29"/>
      <c r="AH525" s="29"/>
      <c r="AI525" s="29"/>
      <c r="AJ525" s="29"/>
      <c r="AT525" s="23"/>
    </row>
    <row r="526" spans="2:46" ht="11.25">
      <c r="B526" s="59"/>
      <c r="C526" s="29"/>
      <c r="D526" s="29"/>
      <c r="E526" s="29" t="s">
        <v>35</v>
      </c>
      <c r="F526" s="29"/>
      <c r="G526" s="29"/>
      <c r="H526" s="29"/>
      <c r="I526" s="29"/>
      <c r="J526" s="29"/>
      <c r="K526" s="29"/>
      <c r="L526" s="29"/>
      <c r="M526" s="29"/>
      <c r="N526" s="29"/>
      <c r="O526" s="29" t="s">
        <v>36</v>
      </c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T526" s="23"/>
    </row>
    <row r="527" spans="2:46" ht="11.25">
      <c r="B527" s="59"/>
      <c r="C527" s="29"/>
      <c r="D527" s="29"/>
      <c r="E527" s="29"/>
      <c r="F527" s="29"/>
      <c r="G527" s="29" t="s">
        <v>43</v>
      </c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T527" s="23"/>
    </row>
    <row r="528" spans="2:46" ht="11.25">
      <c r="B528" s="5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T528" s="23"/>
    </row>
    <row r="529" spans="2:46" ht="11.25">
      <c r="B529" s="59"/>
      <c r="C529" s="29" t="s">
        <v>227</v>
      </c>
      <c r="J529" s="62">
        <f>+R517</f>
        <v>25</v>
      </c>
      <c r="K529" s="62"/>
      <c r="L529" s="36" t="s">
        <v>4</v>
      </c>
      <c r="M529" s="27">
        <v>3</v>
      </c>
      <c r="N529" s="36" t="s">
        <v>4</v>
      </c>
      <c r="O529" s="62">
        <f>+Q523</f>
        <v>1.5</v>
      </c>
      <c r="P529" s="62"/>
      <c r="Q529" s="27" t="s">
        <v>29</v>
      </c>
      <c r="R529" s="27">
        <v>2</v>
      </c>
      <c r="S529" s="36" t="s">
        <v>4</v>
      </c>
      <c r="T529" s="62">
        <f>+J523</f>
        <v>7.7</v>
      </c>
      <c r="U529" s="62"/>
      <c r="V529" s="27" t="s">
        <v>31</v>
      </c>
      <c r="W529" s="62">
        <f>J529*M529*O529/(R529*T529)</f>
        <v>7.305194805194805</v>
      </c>
      <c r="X529" s="62"/>
      <c r="Y529" s="27" t="s">
        <v>55</v>
      </c>
      <c r="AT529" s="23"/>
    </row>
    <row r="530" spans="2:46" ht="11.25">
      <c r="B530" s="59"/>
      <c r="C530" s="29" t="s">
        <v>229</v>
      </c>
      <c r="L530" s="62">
        <f>+R517</f>
        <v>25</v>
      </c>
      <c r="M530" s="62"/>
      <c r="N530" s="27" t="s">
        <v>28</v>
      </c>
      <c r="O530" s="27">
        <v>1</v>
      </c>
      <c r="P530" s="27" t="s">
        <v>228</v>
      </c>
      <c r="Q530" s="27">
        <v>3</v>
      </c>
      <c r="R530" s="36" t="s">
        <v>4</v>
      </c>
      <c r="S530" s="62">
        <f>+Q523</f>
        <v>1.5</v>
      </c>
      <c r="T530" s="62"/>
      <c r="U530" s="27" t="s">
        <v>219</v>
      </c>
      <c r="V530" s="27">
        <v>2</v>
      </c>
      <c r="W530" s="36" t="s">
        <v>4</v>
      </c>
      <c r="X530" s="62">
        <f>+J523</f>
        <v>7.7</v>
      </c>
      <c r="Y530" s="62"/>
      <c r="Z530" s="27" t="s">
        <v>230</v>
      </c>
      <c r="AA530" s="62">
        <f>+L530*(O530+(Q530*S530)/(V530*X530))</f>
        <v>32.3051948051948</v>
      </c>
      <c r="AB530" s="62"/>
      <c r="AC530" s="27" t="s">
        <v>55</v>
      </c>
      <c r="AT530" s="23"/>
    </row>
    <row r="531" spans="2:46" ht="11.25">
      <c r="B531" s="59"/>
      <c r="C531" s="27" t="s">
        <v>231</v>
      </c>
      <c r="G531" s="62">
        <f>+R517</f>
        <v>25</v>
      </c>
      <c r="H531" s="62"/>
      <c r="I531" s="36" t="s">
        <v>4</v>
      </c>
      <c r="J531" s="62">
        <f>+Q523</f>
        <v>1.5</v>
      </c>
      <c r="K531" s="62"/>
      <c r="L531" s="36" t="s">
        <v>7</v>
      </c>
      <c r="M531" s="62">
        <f>+G531*J531</f>
        <v>37.5</v>
      </c>
      <c r="N531" s="62"/>
      <c r="O531" s="27" t="s">
        <v>156</v>
      </c>
      <c r="AT531" s="23"/>
    </row>
    <row r="532" spans="2:46" ht="11.25">
      <c r="B532" s="59"/>
      <c r="C532" s="27" t="s">
        <v>138</v>
      </c>
      <c r="G532" s="62">
        <f>+G531</f>
        <v>25</v>
      </c>
      <c r="H532" s="62"/>
      <c r="I532" s="36" t="s">
        <v>4</v>
      </c>
      <c r="J532" s="62">
        <f>+J531</f>
        <v>1.5</v>
      </c>
      <c r="K532" s="62"/>
      <c r="L532" s="36" t="s">
        <v>7</v>
      </c>
      <c r="M532" s="62">
        <f>+G532*J532</f>
        <v>37.5</v>
      </c>
      <c r="N532" s="62"/>
      <c r="O532" s="27" t="s">
        <v>156</v>
      </c>
      <c r="R532" s="27" t="s">
        <v>232</v>
      </c>
      <c r="AT532" s="23"/>
    </row>
    <row r="533" spans="2:46" ht="11.25">
      <c r="B533" s="59"/>
      <c r="C533" s="29" t="s">
        <v>233</v>
      </c>
      <c r="P533" s="62">
        <f>+R517</f>
        <v>25</v>
      </c>
      <c r="Q533" s="62"/>
      <c r="R533" s="27" t="s">
        <v>4</v>
      </c>
      <c r="S533" s="62">
        <f>+Q523*100</f>
        <v>150</v>
      </c>
      <c r="T533" s="62"/>
      <c r="U533" s="27" t="s">
        <v>4</v>
      </c>
      <c r="V533" s="62">
        <f>+J523*100</f>
        <v>770</v>
      </c>
      <c r="W533" s="62"/>
      <c r="X533" s="27" t="s">
        <v>234</v>
      </c>
      <c r="Y533" s="27">
        <v>27</v>
      </c>
      <c r="Z533" s="27" t="s">
        <v>4</v>
      </c>
      <c r="AA533" s="62">
        <f>+Y520</f>
        <v>21000</v>
      </c>
      <c r="AB533" s="62"/>
      <c r="AC533" s="27" t="s">
        <v>4</v>
      </c>
      <c r="AD533" s="62">
        <f>+Y521</f>
        <v>5645</v>
      </c>
      <c r="AE533" s="62"/>
      <c r="AF533" s="27" t="s">
        <v>31</v>
      </c>
      <c r="AG533" s="64">
        <f>+P533*S533*V533^2/(Y533*AA533*AD533)</f>
        <v>0.694649476757537</v>
      </c>
      <c r="AH533" s="64"/>
      <c r="AI533" s="64"/>
      <c r="AJ533" s="27" t="s">
        <v>51</v>
      </c>
      <c r="AT533" s="23"/>
    </row>
    <row r="534" spans="2:46" ht="11.25">
      <c r="B534" s="59"/>
      <c r="C534" s="29" t="s">
        <v>235</v>
      </c>
      <c r="O534" s="27">
        <v>2</v>
      </c>
      <c r="P534" s="36" t="s">
        <v>4</v>
      </c>
      <c r="Q534" s="62">
        <f>+J523</f>
        <v>7.7</v>
      </c>
      <c r="R534" s="62"/>
      <c r="S534" s="27" t="s">
        <v>6</v>
      </c>
      <c r="T534" s="27">
        <v>3</v>
      </c>
      <c r="U534" s="27" t="s">
        <v>7</v>
      </c>
      <c r="V534" s="62">
        <f>+O534*Q534/T534</f>
        <v>5.133333333333334</v>
      </c>
      <c r="W534" s="62"/>
      <c r="X534" s="27" t="s">
        <v>15</v>
      </c>
      <c r="AT534" s="23"/>
    </row>
    <row r="535" spans="2:46" ht="11.25">
      <c r="B535" s="59"/>
      <c r="C535" s="27" t="s">
        <v>236</v>
      </c>
      <c r="R535" s="62">
        <f>+R517</f>
        <v>25</v>
      </c>
      <c r="S535" s="62"/>
      <c r="T535" s="27" t="s">
        <v>4</v>
      </c>
      <c r="U535" s="62">
        <f>+Q523*100</f>
        <v>150</v>
      </c>
      <c r="V535" s="62"/>
      <c r="W535" s="27" t="s">
        <v>216</v>
      </c>
      <c r="X535" s="62">
        <f>+J523*100</f>
        <v>770</v>
      </c>
      <c r="Y535" s="62"/>
      <c r="Z535" s="27" t="s">
        <v>29</v>
      </c>
      <c r="AA535" s="27">
        <v>12</v>
      </c>
      <c r="AB535" s="36" t="s">
        <v>4</v>
      </c>
      <c r="AC535" s="62">
        <f>+Y520</f>
        <v>21000</v>
      </c>
      <c r="AD535" s="62"/>
      <c r="AE535" s="36" t="s">
        <v>4</v>
      </c>
      <c r="AF535" s="62">
        <f>+Y521</f>
        <v>5645</v>
      </c>
      <c r="AG535" s="62"/>
      <c r="AH535" s="27" t="s">
        <v>30</v>
      </c>
      <c r="AI535" s="27">
        <v>3</v>
      </c>
      <c r="AJ535" s="36" t="s">
        <v>12</v>
      </c>
      <c r="AK535" s="62">
        <f>+Q523*100</f>
        <v>150</v>
      </c>
      <c r="AL535" s="62"/>
      <c r="AM535" s="27" t="s">
        <v>6</v>
      </c>
      <c r="AN535" s="62">
        <f>+J523*100</f>
        <v>770</v>
      </c>
      <c r="AO535" s="62"/>
      <c r="AP535" s="27" t="s">
        <v>31</v>
      </c>
      <c r="AQ535" s="64">
        <f>+R535*U535^2*X535/(AA535*AC535*AF535)*(AI535+AK535/AN535)</f>
        <v>0.9727318739719093</v>
      </c>
      <c r="AR535" s="64"/>
      <c r="AS535" s="64"/>
      <c r="AT535" s="23" t="s">
        <v>51</v>
      </c>
    </row>
    <row r="536" spans="2:46" ht="12" thickBot="1">
      <c r="B536" s="42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9"/>
    </row>
    <row r="537" spans="2:46" ht="12" thickTop="1">
      <c r="B537" s="60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3"/>
    </row>
    <row r="538" spans="2:46" ht="11.25">
      <c r="B538" s="59"/>
      <c r="D538" s="29"/>
      <c r="E538" s="29"/>
      <c r="F538" s="29"/>
      <c r="G538" s="29"/>
      <c r="H538" s="29"/>
      <c r="I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T538" s="23"/>
    </row>
    <row r="539" spans="2:46" ht="11.25">
      <c r="B539" s="59"/>
      <c r="D539" s="29"/>
      <c r="E539" s="29"/>
      <c r="F539" s="29"/>
      <c r="G539" s="29"/>
      <c r="H539" s="29"/>
      <c r="I539" s="29"/>
      <c r="J539" s="27" t="s">
        <v>24</v>
      </c>
      <c r="K539" s="65">
        <v>2.56</v>
      </c>
      <c r="L539" s="65"/>
      <c r="M539" s="27" t="s">
        <v>69</v>
      </c>
      <c r="N539" s="29"/>
      <c r="O539" s="29"/>
      <c r="P539" s="29"/>
      <c r="U539" s="29"/>
      <c r="V539" s="29"/>
      <c r="W539" s="29"/>
      <c r="AT539" s="23"/>
    </row>
    <row r="540" spans="2:46" ht="11.25">
      <c r="B540" s="5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AT540" s="23"/>
    </row>
    <row r="541" spans="2:46" ht="11.25">
      <c r="B541" s="59"/>
      <c r="C541" s="29"/>
      <c r="D541" s="29"/>
      <c r="E541" s="24"/>
      <c r="O541" s="67" t="s">
        <v>42</v>
      </c>
      <c r="P541" s="67"/>
      <c r="R541" s="29"/>
      <c r="S541" s="29"/>
      <c r="T541" s="29"/>
      <c r="U541" s="29"/>
      <c r="V541" s="29"/>
      <c r="Y541" s="61" t="s">
        <v>251</v>
      </c>
      <c r="AG541" s="29"/>
      <c r="AH541" s="29"/>
      <c r="AI541" s="29"/>
      <c r="AJ541" s="29"/>
      <c r="AT541" s="23"/>
    </row>
    <row r="542" spans="2:46" ht="12" thickBot="1">
      <c r="B542" s="59"/>
      <c r="C542" s="29"/>
      <c r="D542" s="29"/>
      <c r="E542" s="24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35"/>
      <c r="T542" s="29"/>
      <c r="U542" s="29"/>
      <c r="V542" s="29"/>
      <c r="X542" s="29" t="s">
        <v>49</v>
      </c>
      <c r="Y542" s="65">
        <v>21000</v>
      </c>
      <c r="Z542" s="65"/>
      <c r="AA542" s="29" t="s">
        <v>53</v>
      </c>
      <c r="AC542" s="29"/>
      <c r="AD542" s="29"/>
      <c r="AE542" s="29"/>
      <c r="AF542" s="29"/>
      <c r="AK542" s="29"/>
      <c r="AT542" s="23"/>
    </row>
    <row r="543" spans="2:46" ht="12.75" thickBot="1" thickTop="1">
      <c r="B543" s="59"/>
      <c r="C543" s="29"/>
      <c r="D543" s="29"/>
      <c r="E543" s="24"/>
      <c r="F543" s="36" t="s">
        <v>41</v>
      </c>
      <c r="R543" s="29"/>
      <c r="S543" s="29"/>
      <c r="T543" s="29" t="s">
        <v>32</v>
      </c>
      <c r="U543" s="29"/>
      <c r="V543" s="29"/>
      <c r="W543" s="29"/>
      <c r="X543" s="29" t="s">
        <v>50</v>
      </c>
      <c r="Y543" s="65">
        <v>5645</v>
      </c>
      <c r="Z543" s="65"/>
      <c r="AA543" s="29" t="s">
        <v>54</v>
      </c>
      <c r="AC543" s="29"/>
      <c r="AD543" s="29"/>
      <c r="AE543" s="29"/>
      <c r="AF543" s="29"/>
      <c r="AK543" s="29"/>
      <c r="AT543" s="23"/>
    </row>
    <row r="544" spans="2:46" ht="12" thickTop="1">
      <c r="B544" s="59"/>
      <c r="C544" s="29" t="s">
        <v>20</v>
      </c>
      <c r="D544" s="29"/>
      <c r="E544" s="29"/>
      <c r="F544" s="29"/>
      <c r="I544" s="29"/>
      <c r="N544" s="29"/>
      <c r="O544" s="37"/>
      <c r="P544" s="37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T544" s="23"/>
    </row>
    <row r="545" spans="2:46" ht="11.25">
      <c r="B545" s="59"/>
      <c r="D545" s="29"/>
      <c r="E545" s="29"/>
      <c r="I545" s="29" t="s">
        <v>25</v>
      </c>
      <c r="J545" s="65">
        <v>7.7</v>
      </c>
      <c r="K545" s="65"/>
      <c r="L545" s="27" t="s">
        <v>15</v>
      </c>
      <c r="P545" s="54" t="s">
        <v>26</v>
      </c>
      <c r="Q545" s="65">
        <v>1.5</v>
      </c>
      <c r="R545" s="65"/>
      <c r="S545" s="27" t="s">
        <v>15</v>
      </c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T545" s="23"/>
    </row>
    <row r="546" spans="2:46" ht="11.25">
      <c r="B546" s="59"/>
      <c r="D546" s="29"/>
      <c r="E546" s="29"/>
      <c r="F546" s="29"/>
      <c r="G546" s="29"/>
      <c r="H546" s="29"/>
      <c r="I546" s="29"/>
      <c r="J546" s="29"/>
      <c r="N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T546" s="23"/>
    </row>
    <row r="547" spans="2:46" ht="11.25">
      <c r="B547" s="5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38" t="s">
        <v>197</v>
      </c>
      <c r="AF547" s="29"/>
      <c r="AG547" s="29"/>
      <c r="AH547" s="29"/>
      <c r="AI547" s="29"/>
      <c r="AJ547" s="29"/>
      <c r="AT547" s="23"/>
    </row>
    <row r="548" spans="2:46" ht="11.25">
      <c r="B548" s="59"/>
      <c r="D548" s="29"/>
      <c r="E548" s="29" t="s">
        <v>35</v>
      </c>
      <c r="F548" s="29"/>
      <c r="G548" s="29"/>
      <c r="H548" s="29"/>
      <c r="I548" s="29"/>
      <c r="J548" s="29"/>
      <c r="K548" s="29"/>
      <c r="L548" s="29"/>
      <c r="M548" s="29"/>
      <c r="N548" s="29"/>
      <c r="O548" s="29" t="s">
        <v>36</v>
      </c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T548" s="23"/>
    </row>
    <row r="549" spans="2:46" ht="11.25">
      <c r="B549" s="59"/>
      <c r="D549" s="29"/>
      <c r="E549" s="29"/>
      <c r="F549" s="29"/>
      <c r="G549" s="29" t="s">
        <v>43</v>
      </c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T549" s="23"/>
    </row>
    <row r="550" spans="2:46" ht="11.25">
      <c r="B550" s="5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T550" s="23"/>
    </row>
    <row r="551" spans="2:46" ht="11.25">
      <c r="B551" s="59"/>
      <c r="D551" s="27" t="s">
        <v>239</v>
      </c>
      <c r="J551" s="62">
        <f>+K539</f>
        <v>2.56</v>
      </c>
      <c r="K551" s="62"/>
      <c r="L551" s="27" t="s">
        <v>28</v>
      </c>
      <c r="M551" s="62">
        <f>+J545</f>
        <v>7.7</v>
      </c>
      <c r="N551" s="62"/>
      <c r="O551" s="27" t="s">
        <v>12</v>
      </c>
      <c r="P551" s="62">
        <f>+Q545</f>
        <v>1.5</v>
      </c>
      <c r="Q551" s="62"/>
      <c r="R551" s="27" t="s">
        <v>17</v>
      </c>
      <c r="S551" s="62">
        <f>+AP552</f>
        <v>11.79303896103896</v>
      </c>
      <c r="T551" s="62"/>
      <c r="U551" s="27" t="s">
        <v>7</v>
      </c>
      <c r="V551" s="64">
        <f>+J551*(M551+P551)-S551</f>
        <v>11.75896103896104</v>
      </c>
      <c r="W551" s="64"/>
      <c r="X551" s="27" t="s">
        <v>55</v>
      </c>
      <c r="AT551" s="23"/>
    </row>
    <row r="552" spans="2:46" ht="11.25">
      <c r="B552" s="59"/>
      <c r="D552" s="27" t="s">
        <v>237</v>
      </c>
      <c r="P552" s="62">
        <f>+K539</f>
        <v>2.56</v>
      </c>
      <c r="Q552" s="62"/>
      <c r="R552" s="27" t="s">
        <v>4</v>
      </c>
      <c r="S552" s="62">
        <f>+J545</f>
        <v>7.7</v>
      </c>
      <c r="T552" s="62"/>
      <c r="U552" s="27" t="s">
        <v>6</v>
      </c>
      <c r="V552" s="27">
        <v>8</v>
      </c>
      <c r="W552" s="27" t="s">
        <v>28</v>
      </c>
      <c r="X552" s="27">
        <v>3</v>
      </c>
      <c r="Y552" s="27" t="s">
        <v>228</v>
      </c>
      <c r="Z552" s="27">
        <v>8</v>
      </c>
      <c r="AA552" s="27" t="s">
        <v>4</v>
      </c>
      <c r="AB552" s="62">
        <f>+Q545</f>
        <v>1.5</v>
      </c>
      <c r="AC552" s="62"/>
      <c r="AD552" s="27" t="s">
        <v>10</v>
      </c>
      <c r="AE552" s="62">
        <f>+J545</f>
        <v>7.7</v>
      </c>
      <c r="AF552" s="62"/>
      <c r="AG552" s="27" t="s">
        <v>12</v>
      </c>
      <c r="AH552" s="27">
        <v>6</v>
      </c>
      <c r="AI552" s="27" t="s">
        <v>4</v>
      </c>
      <c r="AJ552" s="62">
        <f>+Q545</f>
        <v>1.5</v>
      </c>
      <c r="AK552" s="62"/>
      <c r="AL552" s="27" t="s">
        <v>23</v>
      </c>
      <c r="AM552" s="62">
        <f>+J545</f>
        <v>7.7</v>
      </c>
      <c r="AN552" s="62"/>
      <c r="AO552" s="27" t="s">
        <v>238</v>
      </c>
      <c r="AP552" s="62">
        <f>+P552*S552/V552*(X552+(Z552*AB552)/AE552+AH552*AJ552^2/AM552^2)</f>
        <v>11.79303896103896</v>
      </c>
      <c r="AQ552" s="62"/>
      <c r="AR552" s="27" t="s">
        <v>55</v>
      </c>
      <c r="AT552" s="23"/>
    </row>
    <row r="553" spans="2:46" ht="11.25">
      <c r="B553" s="59"/>
      <c r="D553" s="27" t="s">
        <v>240</v>
      </c>
      <c r="H553" s="62">
        <f>+K539</f>
        <v>2.56</v>
      </c>
      <c r="I553" s="62"/>
      <c r="J553" s="36" t="s">
        <v>4</v>
      </c>
      <c r="K553" s="62">
        <f>+Q545</f>
        <v>1.5</v>
      </c>
      <c r="L553" s="62"/>
      <c r="M553" s="27" t="s">
        <v>23</v>
      </c>
      <c r="N553" s="27">
        <v>2</v>
      </c>
      <c r="O553" s="36" t="s">
        <v>7</v>
      </c>
      <c r="P553" s="62">
        <f>+H553*K553^2/N553</f>
        <v>2.88</v>
      </c>
      <c r="Q553" s="62"/>
      <c r="R553" s="27" t="s">
        <v>242</v>
      </c>
      <c r="AT553" s="23"/>
    </row>
    <row r="554" spans="2:46" ht="11.25">
      <c r="B554" s="59"/>
      <c r="D554" s="27" t="s">
        <v>241</v>
      </c>
      <c r="K554" s="62">
        <f>+K539</f>
        <v>2.56</v>
      </c>
      <c r="L554" s="62"/>
      <c r="M554" s="27" t="s">
        <v>28</v>
      </c>
      <c r="N554" s="62">
        <f>+J545</f>
        <v>7.7</v>
      </c>
      <c r="O554" s="62"/>
      <c r="P554" s="36" t="s">
        <v>12</v>
      </c>
      <c r="Q554" s="62">
        <f>+Q545</f>
        <v>1.5</v>
      </c>
      <c r="R554" s="62"/>
      <c r="S554" s="27" t="s">
        <v>193</v>
      </c>
      <c r="T554" s="62">
        <f>+AP552</f>
        <v>11.79303896103896</v>
      </c>
      <c r="U554" s="62"/>
      <c r="V554" s="36" t="s">
        <v>4</v>
      </c>
      <c r="W554" s="62">
        <f>+J545</f>
        <v>7.7</v>
      </c>
      <c r="X554" s="62"/>
      <c r="Y554" s="36" t="s">
        <v>7</v>
      </c>
      <c r="Z554" s="64">
        <f>+K554*(N554+Q554)^2-T554*W554</f>
        <v>125.87199999999999</v>
      </c>
      <c r="AA554" s="64"/>
      <c r="AB554" s="27" t="s">
        <v>156</v>
      </c>
      <c r="AT554" s="23"/>
    </row>
    <row r="555" spans="2:46" ht="11.25">
      <c r="B555" s="59"/>
      <c r="D555" s="27" t="s">
        <v>243</v>
      </c>
      <c r="AT555" s="23"/>
    </row>
    <row r="556" spans="2:46" ht="11.25">
      <c r="B556" s="59"/>
      <c r="D556" s="27" t="s">
        <v>164</v>
      </c>
      <c r="E556" s="62">
        <f>+K539/100</f>
        <v>0.0256</v>
      </c>
      <c r="F556" s="62"/>
      <c r="G556" s="27" t="s">
        <v>4</v>
      </c>
      <c r="H556" s="62">
        <f>+Q545*100</f>
        <v>150</v>
      </c>
      <c r="I556" s="62"/>
      <c r="J556" s="27" t="s">
        <v>4</v>
      </c>
      <c r="K556" s="62">
        <f>+J545*100</f>
        <v>770</v>
      </c>
      <c r="L556" s="62"/>
      <c r="M556" s="48" t="s">
        <v>180</v>
      </c>
      <c r="N556" s="27">
        <v>48</v>
      </c>
      <c r="O556" s="27" t="s">
        <v>4</v>
      </c>
      <c r="P556" s="62">
        <f>+Y542</f>
        <v>21000</v>
      </c>
      <c r="Q556" s="62"/>
      <c r="R556" s="27" t="s">
        <v>4</v>
      </c>
      <c r="S556" s="62">
        <f>+Y543</f>
        <v>5645</v>
      </c>
      <c r="T556" s="62"/>
      <c r="U556" s="27" t="s">
        <v>30</v>
      </c>
      <c r="V556" s="27">
        <v>6</v>
      </c>
      <c r="W556" s="27" t="s">
        <v>4</v>
      </c>
      <c r="X556" s="62">
        <f>+Q545*100</f>
        <v>150</v>
      </c>
      <c r="Y556" s="62"/>
      <c r="Z556" s="48" t="s">
        <v>244</v>
      </c>
      <c r="AA556" s="62">
        <f>+J545*100</f>
        <v>770</v>
      </c>
      <c r="AB556" s="62"/>
      <c r="AC556" s="48" t="s">
        <v>245</v>
      </c>
      <c r="AD556" s="27">
        <v>6</v>
      </c>
      <c r="AE556" s="36" t="s">
        <v>4</v>
      </c>
      <c r="AF556" s="62">
        <f>+Q545*100</f>
        <v>150</v>
      </c>
      <c r="AG556" s="62"/>
      <c r="AH556" s="27" t="s">
        <v>23</v>
      </c>
      <c r="AI556" s="62">
        <f>+J545*100</f>
        <v>770</v>
      </c>
      <c r="AJ556" s="62"/>
      <c r="AK556" s="27" t="s">
        <v>246</v>
      </c>
      <c r="AL556" s="27">
        <v>1</v>
      </c>
      <c r="AM556" s="27" t="s">
        <v>31</v>
      </c>
      <c r="AN556" s="64">
        <f>+E556*H556*K556^3/(N556*P556*S556)*(V556*X556^3/AA556^3+AD556*AF556^2/AI556^2-AL556)</f>
        <v>-0.22427466362984522</v>
      </c>
      <c r="AO556" s="64"/>
      <c r="AP556" s="64"/>
      <c r="AQ556" s="27" t="s">
        <v>51</v>
      </c>
      <c r="AT556" s="23"/>
    </row>
    <row r="557" spans="2:46" ht="11.25">
      <c r="B557" s="59"/>
      <c r="D557" s="29" t="s">
        <v>247</v>
      </c>
      <c r="E557" s="29"/>
      <c r="F557" s="29"/>
      <c r="G557" s="29"/>
      <c r="H557" s="29"/>
      <c r="I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T557" s="23"/>
    </row>
    <row r="558" spans="2:46" ht="11.25">
      <c r="B558" s="59"/>
      <c r="D558" s="27" t="s">
        <v>196</v>
      </c>
      <c r="I558" s="29" t="s">
        <v>170</v>
      </c>
      <c r="J558" s="65">
        <v>3</v>
      </c>
      <c r="K558" s="65"/>
      <c r="L558" s="29" t="s">
        <v>171</v>
      </c>
      <c r="M558" s="29"/>
      <c r="N558" s="29"/>
      <c r="Q558" s="58">
        <f>IF(J558&gt;J545,"x 'e L uzunluğundan büyük sayı giremezsiniz.","")</f>
      </c>
      <c r="R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T558" s="23"/>
    </row>
    <row r="559" spans="2:46" ht="11.25">
      <c r="B559" s="59"/>
      <c r="D559" s="29" t="s">
        <v>164</v>
      </c>
      <c r="E559" s="63">
        <f>+K539/100</f>
        <v>0.0256</v>
      </c>
      <c r="F559" s="63"/>
      <c r="G559" s="39" t="s">
        <v>4</v>
      </c>
      <c r="H559" s="63">
        <f>+J545*100</f>
        <v>770</v>
      </c>
      <c r="I559" s="63"/>
      <c r="J559" s="27" t="s">
        <v>216</v>
      </c>
      <c r="K559" s="62">
        <f>+J558*100</f>
        <v>300</v>
      </c>
      <c r="L559" s="62"/>
      <c r="M559" s="27" t="s">
        <v>234</v>
      </c>
      <c r="N559" s="27">
        <v>48</v>
      </c>
      <c r="O559" s="36" t="s">
        <v>4</v>
      </c>
      <c r="P559" s="63">
        <f>+Y542</f>
        <v>21000</v>
      </c>
      <c r="Q559" s="63"/>
      <c r="R559" s="39" t="s">
        <v>4</v>
      </c>
      <c r="S559" s="63">
        <f>+Y543</f>
        <v>5645</v>
      </c>
      <c r="T559" s="63"/>
      <c r="U559" s="27" t="s">
        <v>30</v>
      </c>
      <c r="V559" s="27">
        <v>1</v>
      </c>
      <c r="W559" s="36" t="s">
        <v>5</v>
      </c>
      <c r="X559" s="62">
        <f>+J558*100</f>
        <v>300</v>
      </c>
      <c r="Y559" s="62"/>
      <c r="Z559" s="27" t="s">
        <v>6</v>
      </c>
      <c r="AA559" s="62">
        <f>+J545*100</f>
        <v>770</v>
      </c>
      <c r="AB559" s="62"/>
      <c r="AC559" s="27" t="s">
        <v>30</v>
      </c>
      <c r="AD559" s="27">
        <v>3</v>
      </c>
      <c r="AE559" s="27" t="s">
        <v>28</v>
      </c>
      <c r="AF559" s="27">
        <v>1</v>
      </c>
      <c r="AG559" s="27" t="s">
        <v>248</v>
      </c>
      <c r="AH559" s="27">
        <v>2</v>
      </c>
      <c r="AI559" s="36" t="s">
        <v>4</v>
      </c>
      <c r="AJ559" s="62">
        <f>+Q545*100</f>
        <v>150</v>
      </c>
      <c r="AK559" s="62"/>
      <c r="AL559" s="27" t="s">
        <v>249</v>
      </c>
      <c r="AM559" s="62">
        <f>+J545*100</f>
        <v>770</v>
      </c>
      <c r="AN559" s="62"/>
      <c r="AO559" s="27" t="s">
        <v>250</v>
      </c>
      <c r="AT559" s="23"/>
    </row>
    <row r="560" spans="2:46" ht="11.25">
      <c r="B560" s="59"/>
      <c r="D560" s="29"/>
      <c r="E560" s="27">
        <v>2</v>
      </c>
      <c r="F560" s="36" t="s">
        <v>4</v>
      </c>
      <c r="G560" s="62">
        <f>+J558*100</f>
        <v>300</v>
      </c>
      <c r="H560" s="62"/>
      <c r="I560" s="27" t="s">
        <v>6</v>
      </c>
      <c r="J560" s="62">
        <f>+J545*100</f>
        <v>770</v>
      </c>
      <c r="K560" s="62"/>
      <c r="L560" s="27" t="s">
        <v>31</v>
      </c>
      <c r="M560" s="62">
        <f>+E559*H559^2*K559^2/(N559*P559*S559)*(V559-X559/AA559)*(AD559*(AF559-(AH559*AJ559^2)/AM559^2)-E560*G560/J560)</f>
        <v>0.2920601908530544</v>
      </c>
      <c r="N560" s="62"/>
      <c r="O560" s="62"/>
      <c r="P560" s="27" t="s">
        <v>51</v>
      </c>
      <c r="AT560" s="23"/>
    </row>
    <row r="561" spans="2:46" ht="12" thickBot="1">
      <c r="B561" s="42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9"/>
    </row>
    <row r="562" ht="12" thickTop="1"/>
  </sheetData>
  <sheetProtection password="C07F" sheet="1" objects="1" scenarios="1"/>
  <mergeCells count="698">
    <mergeCell ref="O541:P541"/>
    <mergeCell ref="Y542:Z542"/>
    <mergeCell ref="Y543:Z543"/>
    <mergeCell ref="J545:K545"/>
    <mergeCell ref="Q545:R545"/>
    <mergeCell ref="AK535:AL535"/>
    <mergeCell ref="AN535:AO535"/>
    <mergeCell ref="AQ535:AS535"/>
    <mergeCell ref="K539:L539"/>
    <mergeCell ref="AG533:AI533"/>
    <mergeCell ref="Q534:R534"/>
    <mergeCell ref="V534:W534"/>
    <mergeCell ref="R535:S535"/>
    <mergeCell ref="U535:V535"/>
    <mergeCell ref="X535:Y535"/>
    <mergeCell ref="AC535:AD535"/>
    <mergeCell ref="AF535:AG535"/>
    <mergeCell ref="S533:T533"/>
    <mergeCell ref="V533:W533"/>
    <mergeCell ref="AA533:AB533"/>
    <mergeCell ref="AD533:AE533"/>
    <mergeCell ref="G532:H532"/>
    <mergeCell ref="J532:K532"/>
    <mergeCell ref="M532:N532"/>
    <mergeCell ref="P533:Q533"/>
    <mergeCell ref="AA530:AB530"/>
    <mergeCell ref="G531:H531"/>
    <mergeCell ref="J531:K531"/>
    <mergeCell ref="M531:N531"/>
    <mergeCell ref="T529:U529"/>
    <mergeCell ref="W529:X529"/>
    <mergeCell ref="L530:M530"/>
    <mergeCell ref="S530:T530"/>
    <mergeCell ref="X530:Y530"/>
    <mergeCell ref="J523:K523"/>
    <mergeCell ref="Q523:R523"/>
    <mergeCell ref="J529:K529"/>
    <mergeCell ref="O529:P529"/>
    <mergeCell ref="R517:S517"/>
    <mergeCell ref="O520:P520"/>
    <mergeCell ref="Y520:Z520"/>
    <mergeCell ref="Y521:Z521"/>
    <mergeCell ref="AF197:AH197"/>
    <mergeCell ref="X184:Y184"/>
    <mergeCell ref="X185:Y185"/>
    <mergeCell ref="W197:X197"/>
    <mergeCell ref="I158:J158"/>
    <mergeCell ref="V159:W159"/>
    <mergeCell ref="K176:L176"/>
    <mergeCell ref="P176:Q176"/>
    <mergeCell ref="AA113:AB113"/>
    <mergeCell ref="AA114:AB114"/>
    <mergeCell ref="S113:T113"/>
    <mergeCell ref="N124:O124"/>
    <mergeCell ref="Q124:R124"/>
    <mergeCell ref="V124:W124"/>
    <mergeCell ref="Y124:Z124"/>
    <mergeCell ref="AB124:AD124"/>
    <mergeCell ref="V463:W463"/>
    <mergeCell ref="AA463:AB463"/>
    <mergeCell ref="AF463:AG463"/>
    <mergeCell ref="M462:N462"/>
    <mergeCell ref="R462:S462"/>
    <mergeCell ref="Q461:R461"/>
    <mergeCell ref="AQ463:AS463"/>
    <mergeCell ref="AK463:AL463"/>
    <mergeCell ref="T461:U461"/>
    <mergeCell ref="W461:X461"/>
    <mergeCell ref="AD461:AE461"/>
    <mergeCell ref="AN463:AO463"/>
    <mergeCell ref="AG461:AH461"/>
    <mergeCell ref="AJ461:AL461"/>
    <mergeCell ref="S463:T463"/>
    <mergeCell ref="T459:U459"/>
    <mergeCell ref="Y459:Z459"/>
    <mergeCell ref="H460:I460"/>
    <mergeCell ref="K460:L460"/>
    <mergeCell ref="P460:Q460"/>
    <mergeCell ref="I458:J458"/>
    <mergeCell ref="L458:M458"/>
    <mergeCell ref="Q458:R458"/>
    <mergeCell ref="L459:M459"/>
    <mergeCell ref="O459:P459"/>
    <mergeCell ref="J452:K452"/>
    <mergeCell ref="Q452:R452"/>
    <mergeCell ref="P446:Q446"/>
    <mergeCell ref="I364:J364"/>
    <mergeCell ref="L364:M364"/>
    <mergeCell ref="Q364:R364"/>
    <mergeCell ref="M365:N365"/>
    <mergeCell ref="M363:N363"/>
    <mergeCell ref="P363:Q363"/>
    <mergeCell ref="Z279:AA279"/>
    <mergeCell ref="X306:Y306"/>
    <mergeCell ref="X307:Y307"/>
    <mergeCell ref="X329:Y329"/>
    <mergeCell ref="Y323:Z323"/>
    <mergeCell ref="R320:S320"/>
    <mergeCell ref="Y343:Z343"/>
    <mergeCell ref="U363:V363"/>
    <mergeCell ref="AC279:AE279"/>
    <mergeCell ref="N280:Q280"/>
    <mergeCell ref="S280:T280"/>
    <mergeCell ref="V280:W280"/>
    <mergeCell ref="N279:O279"/>
    <mergeCell ref="Q279:R279"/>
    <mergeCell ref="T279:U279"/>
    <mergeCell ref="W279:X279"/>
    <mergeCell ref="R277:S277"/>
    <mergeCell ref="U277:V277"/>
    <mergeCell ref="M278:N278"/>
    <mergeCell ref="R278:S278"/>
    <mergeCell ref="H276:I276"/>
    <mergeCell ref="K276:L276"/>
    <mergeCell ref="P276:Q276"/>
    <mergeCell ref="K277:M277"/>
    <mergeCell ref="O277:P277"/>
    <mergeCell ref="G105:H105"/>
    <mergeCell ref="K261:L261"/>
    <mergeCell ref="Z265:AA265"/>
    <mergeCell ref="Z266:AA266"/>
    <mergeCell ref="J116:K116"/>
    <mergeCell ref="G123:H123"/>
    <mergeCell ref="I196:J196"/>
    <mergeCell ref="Q196:R196"/>
    <mergeCell ref="Q197:R197"/>
    <mergeCell ref="T197:U197"/>
    <mergeCell ref="H106:I106"/>
    <mergeCell ref="V107:W107"/>
    <mergeCell ref="Y107:Z107"/>
    <mergeCell ref="AB107:AD107"/>
    <mergeCell ref="N107:O107"/>
    <mergeCell ref="Q107:R107"/>
    <mergeCell ref="AG88:AI88"/>
    <mergeCell ref="V89:W89"/>
    <mergeCell ref="Y89:Z89"/>
    <mergeCell ref="K106:L106"/>
    <mergeCell ref="N106:O106"/>
    <mergeCell ref="X94:Y94"/>
    <mergeCell ref="U88:V88"/>
    <mergeCell ref="X95:Y95"/>
    <mergeCell ref="X71:Y71"/>
    <mergeCell ref="X72:Y72"/>
    <mergeCell ref="AA88:AB88"/>
    <mergeCell ref="AD88:AE88"/>
    <mergeCell ref="X88:Y88"/>
    <mergeCell ref="AI42:AK42"/>
    <mergeCell ref="V43:W43"/>
    <mergeCell ref="Y43:Z43"/>
    <mergeCell ref="X25:Y25"/>
    <mergeCell ref="X26:Y26"/>
    <mergeCell ref="AC42:AD42"/>
    <mergeCell ref="AF42:AG42"/>
    <mergeCell ref="Y41:Z41"/>
    <mergeCell ref="Z42:AA42"/>
    <mergeCell ref="P40:Q40"/>
    <mergeCell ref="U40:V40"/>
    <mergeCell ref="V41:W41"/>
    <mergeCell ref="T42:U42"/>
    <mergeCell ref="O62:P62"/>
    <mergeCell ref="R62:S62"/>
    <mergeCell ref="U62:V62"/>
    <mergeCell ref="W42:X42"/>
    <mergeCell ref="S37:T37"/>
    <mergeCell ref="I38:J38"/>
    <mergeCell ref="L38:M38"/>
    <mergeCell ref="Q38:R38"/>
    <mergeCell ref="AC19:AE19"/>
    <mergeCell ref="T20:U20"/>
    <mergeCell ref="Y20:Z20"/>
    <mergeCell ref="L60:M60"/>
    <mergeCell ref="O60:P60"/>
    <mergeCell ref="T60:U60"/>
    <mergeCell ref="X48:Y48"/>
    <mergeCell ref="X49:Y49"/>
    <mergeCell ref="W19:X19"/>
    <mergeCell ref="N19:O19"/>
    <mergeCell ref="X4:Y4"/>
    <mergeCell ref="X5:Y5"/>
    <mergeCell ref="Z19:AA19"/>
    <mergeCell ref="P18:Q18"/>
    <mergeCell ref="U18:V18"/>
    <mergeCell ref="Q19:R19"/>
    <mergeCell ref="T19:U19"/>
    <mergeCell ref="Q16:R16"/>
    <mergeCell ref="L17:M17"/>
    <mergeCell ref="O17:P17"/>
    <mergeCell ref="U17:V17"/>
    <mergeCell ref="R17:S17"/>
    <mergeCell ref="V63:W63"/>
    <mergeCell ref="J99:K99"/>
    <mergeCell ref="T64:U64"/>
    <mergeCell ref="K3:L3"/>
    <mergeCell ref="J8:K8"/>
    <mergeCell ref="K14:L14"/>
    <mergeCell ref="N14:O14"/>
    <mergeCell ref="S14:T14"/>
    <mergeCell ref="K15:L15"/>
    <mergeCell ref="L61:M61"/>
    <mergeCell ref="K83:L83"/>
    <mergeCell ref="Y63:Z63"/>
    <mergeCell ref="P92:Q92"/>
    <mergeCell ref="K23:L23"/>
    <mergeCell ref="K46:L46"/>
    <mergeCell ref="J54:K54"/>
    <mergeCell ref="K37:L37"/>
    <mergeCell ref="N37:O37"/>
    <mergeCell ref="M40:N40"/>
    <mergeCell ref="O65:Q65"/>
    <mergeCell ref="K69:L69"/>
    <mergeCell ref="G75:H75"/>
    <mergeCell ref="J31:K31"/>
    <mergeCell ref="I39:J39"/>
    <mergeCell ref="L39:M39"/>
    <mergeCell ref="L75:M75"/>
    <mergeCell ref="M66:N66"/>
    <mergeCell ref="L62:M62"/>
    <mergeCell ref="N15:O15"/>
    <mergeCell ref="S15:T15"/>
    <mergeCell ref="AE63:AF63"/>
    <mergeCell ref="I16:J16"/>
    <mergeCell ref="L16:M16"/>
    <mergeCell ref="AB63:AC63"/>
    <mergeCell ref="Q39:R39"/>
    <mergeCell ref="O61:P61"/>
    <mergeCell ref="T61:U61"/>
    <mergeCell ref="S63:T63"/>
    <mergeCell ref="Y64:Z64"/>
    <mergeCell ref="S65:T65"/>
    <mergeCell ref="V65:W65"/>
    <mergeCell ref="Y65:Z65"/>
    <mergeCell ref="AB65:AC65"/>
    <mergeCell ref="AE65:AG65"/>
    <mergeCell ref="P66:Q66"/>
    <mergeCell ref="S66:T66"/>
    <mergeCell ref="L86:M86"/>
    <mergeCell ref="O86:P86"/>
    <mergeCell ref="K146:L146"/>
    <mergeCell ref="R88:S88"/>
    <mergeCell ref="P127:Q127"/>
    <mergeCell ref="K127:L127"/>
    <mergeCell ref="J77:K77"/>
    <mergeCell ref="T86:U86"/>
    <mergeCell ref="M87:N87"/>
    <mergeCell ref="R87:S87"/>
    <mergeCell ref="O85:P85"/>
    <mergeCell ref="T85:U85"/>
    <mergeCell ref="P83:Q83"/>
    <mergeCell ref="K84:L84"/>
    <mergeCell ref="P84:Q84"/>
    <mergeCell ref="L85:M85"/>
    <mergeCell ref="AE143:AG143"/>
    <mergeCell ref="X147:Y147"/>
    <mergeCell ref="X148:Y148"/>
    <mergeCell ref="L158:M158"/>
    <mergeCell ref="Q158:R158"/>
    <mergeCell ref="Y143:Z143"/>
    <mergeCell ref="X130:Y130"/>
    <mergeCell ref="X131:Y131"/>
    <mergeCell ref="AB143:AC143"/>
    <mergeCell ref="J135:K135"/>
    <mergeCell ref="L142:M142"/>
    <mergeCell ref="O142:P142"/>
    <mergeCell ref="T142:U142"/>
    <mergeCell ref="M141:N141"/>
    <mergeCell ref="Q143:R143"/>
    <mergeCell ref="T143:U143"/>
    <mergeCell ref="G133:H133"/>
    <mergeCell ref="L133:M133"/>
    <mergeCell ref="G157:H157"/>
    <mergeCell ref="M157:N157"/>
    <mergeCell ref="J151:K151"/>
    <mergeCell ref="Y159:Z159"/>
    <mergeCell ref="AB159:AD159"/>
    <mergeCell ref="K162:L162"/>
    <mergeCell ref="X164:Y164"/>
    <mergeCell ref="N159:O159"/>
    <mergeCell ref="Q159:R159"/>
    <mergeCell ref="X165:Y165"/>
    <mergeCell ref="J170:K170"/>
    <mergeCell ref="I177:J177"/>
    <mergeCell ref="L177:M177"/>
    <mergeCell ref="Q177:R177"/>
    <mergeCell ref="H176:I176"/>
    <mergeCell ref="K200:L200"/>
    <mergeCell ref="X202:Y202"/>
    <mergeCell ref="M178:N178"/>
    <mergeCell ref="P178:Q178"/>
    <mergeCell ref="U178:V178"/>
    <mergeCell ref="X178:Y178"/>
    <mergeCell ref="L196:M196"/>
    <mergeCell ref="K182:L182"/>
    <mergeCell ref="J189:K189"/>
    <mergeCell ref="J269:K269"/>
    <mergeCell ref="H275:I275"/>
    <mergeCell ref="K275:L275"/>
    <mergeCell ref="AA178:AC178"/>
    <mergeCell ref="Z197:AA197"/>
    <mergeCell ref="AC197:AD197"/>
    <mergeCell ref="P275:Q275"/>
    <mergeCell ref="H195:I195"/>
    <mergeCell ref="K195:L195"/>
    <mergeCell ref="P195:Q195"/>
    <mergeCell ref="X203:Y203"/>
    <mergeCell ref="G206:H206"/>
    <mergeCell ref="L206:M206"/>
    <mergeCell ref="G354:H354"/>
    <mergeCell ref="J354:K354"/>
    <mergeCell ref="L354:M354"/>
    <mergeCell ref="J208:K208"/>
    <mergeCell ref="I215:J215"/>
    <mergeCell ref="L215:M215"/>
    <mergeCell ref="K243:L243"/>
    <mergeCell ref="Q215:R215"/>
    <mergeCell ref="M216:N216"/>
    <mergeCell ref="R216:S216"/>
    <mergeCell ref="H214:I214"/>
    <mergeCell ref="M214:N214"/>
    <mergeCell ref="AA217:AC217"/>
    <mergeCell ref="L218:M218"/>
    <mergeCell ref="Q218:R218"/>
    <mergeCell ref="G221:H221"/>
    <mergeCell ref="L221:M221"/>
    <mergeCell ref="M217:N217"/>
    <mergeCell ref="P217:Q217"/>
    <mergeCell ref="U217:V217"/>
    <mergeCell ref="X217:Y217"/>
    <mergeCell ref="F228:G228"/>
    <mergeCell ref="J228:K228"/>
    <mergeCell ref="M228:N228"/>
    <mergeCell ref="J230:K230"/>
    <mergeCell ref="H236:I236"/>
    <mergeCell ref="I237:J237"/>
    <mergeCell ref="L237:M237"/>
    <mergeCell ref="X224:Y224"/>
    <mergeCell ref="X225:Y225"/>
    <mergeCell ref="Q237:R237"/>
    <mergeCell ref="AC239:AD239"/>
    <mergeCell ref="AF239:AH239"/>
    <mergeCell ref="L240:M240"/>
    <mergeCell ref="Q240:R240"/>
    <mergeCell ref="W239:X239"/>
    <mergeCell ref="Q239:R239"/>
    <mergeCell ref="T239:U239"/>
    <mergeCell ref="Z239:AA239"/>
    <mergeCell ref="X244:Y244"/>
    <mergeCell ref="X245:Y245"/>
    <mergeCell ref="J248:K248"/>
    <mergeCell ref="I254:J254"/>
    <mergeCell ref="L254:M254"/>
    <mergeCell ref="Q254:R254"/>
    <mergeCell ref="I255:J255"/>
    <mergeCell ref="L255:M255"/>
    <mergeCell ref="Q255:R255"/>
    <mergeCell ref="M256:N256"/>
    <mergeCell ref="R256:S256"/>
    <mergeCell ref="AB257:AC257"/>
    <mergeCell ref="AE257:AG257"/>
    <mergeCell ref="L258:M258"/>
    <mergeCell ref="Q258:R258"/>
    <mergeCell ref="P257:Q257"/>
    <mergeCell ref="S257:T257"/>
    <mergeCell ref="V257:W257"/>
    <mergeCell ref="Y257:Z257"/>
    <mergeCell ref="K283:L283"/>
    <mergeCell ref="X286:Y286"/>
    <mergeCell ref="X287:Y287"/>
    <mergeCell ref="G290:H290"/>
    <mergeCell ref="J290:K290"/>
    <mergeCell ref="L290:M290"/>
    <mergeCell ref="J292:K292"/>
    <mergeCell ref="I298:J298"/>
    <mergeCell ref="L298:M298"/>
    <mergeCell ref="Q298:R298"/>
    <mergeCell ref="I299:J299"/>
    <mergeCell ref="L299:M299"/>
    <mergeCell ref="Q299:R299"/>
    <mergeCell ref="M300:N300"/>
    <mergeCell ref="R300:S300"/>
    <mergeCell ref="AB301:AD301"/>
    <mergeCell ref="L302:M302"/>
    <mergeCell ref="Q302:R302"/>
    <mergeCell ref="S301:T301"/>
    <mergeCell ref="M301:N301"/>
    <mergeCell ref="P301:Q301"/>
    <mergeCell ref="V301:W301"/>
    <mergeCell ref="Y301:Z301"/>
    <mergeCell ref="J305:K305"/>
    <mergeCell ref="J313:K313"/>
    <mergeCell ref="K328:L328"/>
    <mergeCell ref="J333:K333"/>
    <mergeCell ref="J320:K320"/>
    <mergeCell ref="I321:J321"/>
    <mergeCell ref="L321:M321"/>
    <mergeCell ref="K347:L347"/>
    <mergeCell ref="X350:Y350"/>
    <mergeCell ref="X351:Y351"/>
    <mergeCell ref="G311:H311"/>
    <mergeCell ref="L311:M311"/>
    <mergeCell ref="H319:I319"/>
    <mergeCell ref="M319:N319"/>
    <mergeCell ref="M320:N320"/>
    <mergeCell ref="X330:Y330"/>
    <mergeCell ref="L339:M339"/>
    <mergeCell ref="AB323:AD323"/>
    <mergeCell ref="L324:M324"/>
    <mergeCell ref="Q324:R324"/>
    <mergeCell ref="Q321:R321"/>
    <mergeCell ref="M322:N322"/>
    <mergeCell ref="R322:S322"/>
    <mergeCell ref="M323:N323"/>
    <mergeCell ref="P323:Q323"/>
    <mergeCell ref="S323:T323"/>
    <mergeCell ref="V323:W323"/>
    <mergeCell ref="I339:J339"/>
    <mergeCell ref="J340:K340"/>
    <mergeCell ref="M340:N340"/>
    <mergeCell ref="R340:S340"/>
    <mergeCell ref="Q339:R339"/>
    <mergeCell ref="I341:J341"/>
    <mergeCell ref="L341:M341"/>
    <mergeCell ref="Q341:R341"/>
    <mergeCell ref="M342:N342"/>
    <mergeCell ref="R342:S342"/>
    <mergeCell ref="AB343:AD343"/>
    <mergeCell ref="L344:M344"/>
    <mergeCell ref="Q344:R344"/>
    <mergeCell ref="M343:N343"/>
    <mergeCell ref="P343:Q343"/>
    <mergeCell ref="S343:T343"/>
    <mergeCell ref="V343:W343"/>
    <mergeCell ref="J356:K356"/>
    <mergeCell ref="I362:J362"/>
    <mergeCell ref="L362:M362"/>
    <mergeCell ref="Q362:R362"/>
    <mergeCell ref="R365:S365"/>
    <mergeCell ref="S366:T366"/>
    <mergeCell ref="V366:W366"/>
    <mergeCell ref="Y366:Z366"/>
    <mergeCell ref="AB366:AD366"/>
    <mergeCell ref="L367:M367"/>
    <mergeCell ref="Q367:R367"/>
    <mergeCell ref="K370:L370"/>
    <mergeCell ref="M366:N366"/>
    <mergeCell ref="P366:Q366"/>
    <mergeCell ref="X372:Y372"/>
    <mergeCell ref="X373:Y373"/>
    <mergeCell ref="J378:K378"/>
    <mergeCell ref="L384:M384"/>
    <mergeCell ref="O384:P384"/>
    <mergeCell ref="T384:U384"/>
    <mergeCell ref="L385:M385"/>
    <mergeCell ref="O385:P385"/>
    <mergeCell ref="T385:U385"/>
    <mergeCell ref="S388:T388"/>
    <mergeCell ref="V388:W388"/>
    <mergeCell ref="Y388:Z388"/>
    <mergeCell ref="I386:J386"/>
    <mergeCell ref="L386:M386"/>
    <mergeCell ref="Q386:R386"/>
    <mergeCell ref="I387:J387"/>
    <mergeCell ref="L387:M387"/>
    <mergeCell ref="Q387:R387"/>
    <mergeCell ref="AB388:AC388"/>
    <mergeCell ref="M391:N391"/>
    <mergeCell ref="X389:Y389"/>
    <mergeCell ref="AA389:AB389"/>
    <mergeCell ref="O390:Q390"/>
    <mergeCell ref="S390:T390"/>
    <mergeCell ref="V390:W390"/>
    <mergeCell ref="Y390:Z390"/>
    <mergeCell ref="AB390:AC390"/>
    <mergeCell ref="N388:O388"/>
    <mergeCell ref="AE390:AG390"/>
    <mergeCell ref="P391:Q391"/>
    <mergeCell ref="S391:T391"/>
    <mergeCell ref="R395:S395"/>
    <mergeCell ref="J408:K408"/>
    <mergeCell ref="O408:P408"/>
    <mergeCell ref="Y398:Z398"/>
    <mergeCell ref="Y399:Z399"/>
    <mergeCell ref="Q401:R401"/>
    <mergeCell ref="U408:V408"/>
    <mergeCell ref="R408:S408"/>
    <mergeCell ref="K411:L411"/>
    <mergeCell ref="N411:O411"/>
    <mergeCell ref="S411:T411"/>
    <mergeCell ref="H409:I409"/>
    <mergeCell ref="K409:L409"/>
    <mergeCell ref="N409:O409"/>
    <mergeCell ref="Y411:Z411"/>
    <mergeCell ref="AB411:AD411"/>
    <mergeCell ref="S412:T412"/>
    <mergeCell ref="V412:W412"/>
    <mergeCell ref="V411:W411"/>
    <mergeCell ref="E414:F414"/>
    <mergeCell ref="H414:I414"/>
    <mergeCell ref="M414:N414"/>
    <mergeCell ref="P414:Q414"/>
    <mergeCell ref="AH414:AJ414"/>
    <mergeCell ref="K418:L418"/>
    <mergeCell ref="Y421:Z421"/>
    <mergeCell ref="Y422:Z422"/>
    <mergeCell ref="T414:U414"/>
    <mergeCell ref="W414:X414"/>
    <mergeCell ref="AA414:AB414"/>
    <mergeCell ref="AD414:AE414"/>
    <mergeCell ref="J424:K424"/>
    <mergeCell ref="Q424:R424"/>
    <mergeCell ref="O398:P398"/>
    <mergeCell ref="O420:P420"/>
    <mergeCell ref="R407:S407"/>
    <mergeCell ref="J401:K401"/>
    <mergeCell ref="I407:J407"/>
    <mergeCell ref="L407:M407"/>
    <mergeCell ref="O407:P407"/>
    <mergeCell ref="H411:I411"/>
    <mergeCell ref="AD430:AE430"/>
    <mergeCell ref="M431:N431"/>
    <mergeCell ref="P431:Q431"/>
    <mergeCell ref="W431:X431"/>
    <mergeCell ref="Z431:AA431"/>
    <mergeCell ref="AD431:AE431"/>
    <mergeCell ref="M430:N430"/>
    <mergeCell ref="P430:Q430"/>
    <mergeCell ref="W430:X430"/>
    <mergeCell ref="Z430:AA430"/>
    <mergeCell ref="AD433:AE433"/>
    <mergeCell ref="K435:L435"/>
    <mergeCell ref="R435:S435"/>
    <mergeCell ref="U435:V435"/>
    <mergeCell ref="Y435:Z435"/>
    <mergeCell ref="M433:N433"/>
    <mergeCell ref="P433:Q433"/>
    <mergeCell ref="W433:X433"/>
    <mergeCell ref="Z433:AA433"/>
    <mergeCell ref="I436:J436"/>
    <mergeCell ref="L436:M436"/>
    <mergeCell ref="Q436:R436"/>
    <mergeCell ref="E438:F438"/>
    <mergeCell ref="H438:I438"/>
    <mergeCell ref="M438:N438"/>
    <mergeCell ref="P438:Q438"/>
    <mergeCell ref="AJ438:AK438"/>
    <mergeCell ref="AM438:AN438"/>
    <mergeCell ref="AQ438:AS438"/>
    <mergeCell ref="J440:K440"/>
    <mergeCell ref="T438:U438"/>
    <mergeCell ref="W438:X438"/>
    <mergeCell ref="AB438:AC438"/>
    <mergeCell ref="AE438:AF438"/>
    <mergeCell ref="E441:F441"/>
    <mergeCell ref="H441:I441"/>
    <mergeCell ref="M441:N441"/>
    <mergeCell ref="P441:Q441"/>
    <mergeCell ref="B1:AT1"/>
    <mergeCell ref="J157:K157"/>
    <mergeCell ref="AO441:AP441"/>
    <mergeCell ref="E442:F442"/>
    <mergeCell ref="I442:J442"/>
    <mergeCell ref="L442:M442"/>
    <mergeCell ref="X441:Y441"/>
    <mergeCell ref="AA441:AB441"/>
    <mergeCell ref="AE441:AF441"/>
    <mergeCell ref="AH441:AI441"/>
    <mergeCell ref="AD473:AE473"/>
    <mergeCell ref="AD474:AE474"/>
    <mergeCell ref="P442:Q442"/>
    <mergeCell ref="S442:T442"/>
    <mergeCell ref="W442:Y442"/>
    <mergeCell ref="O448:P448"/>
    <mergeCell ref="Y449:Z449"/>
    <mergeCell ref="Y450:Z450"/>
    <mergeCell ref="T458:U458"/>
    <mergeCell ref="AC459:AD459"/>
    <mergeCell ref="F470:G470"/>
    <mergeCell ref="H476:I476"/>
    <mergeCell ref="W470:X470"/>
    <mergeCell ref="T473:U473"/>
    <mergeCell ref="H482:I482"/>
    <mergeCell ref="I483:J483"/>
    <mergeCell ref="L483:M483"/>
    <mergeCell ref="O483:P483"/>
    <mergeCell ref="AF484:AG484"/>
    <mergeCell ref="AI484:AJ484"/>
    <mergeCell ref="AL484:AN484"/>
    <mergeCell ref="J141:K141"/>
    <mergeCell ref="R484:S484"/>
    <mergeCell ref="U484:V484"/>
    <mergeCell ref="Z484:AA484"/>
    <mergeCell ref="AC484:AD484"/>
    <mergeCell ref="O476:P476"/>
    <mergeCell ref="V476:W476"/>
    <mergeCell ref="N485:O485"/>
    <mergeCell ref="S485:T485"/>
    <mergeCell ref="E487:F487"/>
    <mergeCell ref="H487:I487"/>
    <mergeCell ref="AC487:AD487"/>
    <mergeCell ref="AF487:AG487"/>
    <mergeCell ref="AJ487:AL487"/>
    <mergeCell ref="N491:O491"/>
    <mergeCell ref="M487:N487"/>
    <mergeCell ref="P487:Q487"/>
    <mergeCell ref="U487:V487"/>
    <mergeCell ref="X487:Y487"/>
    <mergeCell ref="AD494:AE494"/>
    <mergeCell ref="AD495:AE495"/>
    <mergeCell ref="H497:I497"/>
    <mergeCell ref="O497:P497"/>
    <mergeCell ref="V497:W497"/>
    <mergeCell ref="AH503:AI503"/>
    <mergeCell ref="N505:O505"/>
    <mergeCell ref="Q505:R505"/>
    <mergeCell ref="Z505:AA505"/>
    <mergeCell ref="AC505:AD505"/>
    <mergeCell ref="AG505:AH505"/>
    <mergeCell ref="O503:P503"/>
    <mergeCell ref="R503:S503"/>
    <mergeCell ref="AA503:AB503"/>
    <mergeCell ref="AD503:AE503"/>
    <mergeCell ref="P506:Q506"/>
    <mergeCell ref="U506:V506"/>
    <mergeCell ref="J507:K507"/>
    <mergeCell ref="M507:N507"/>
    <mergeCell ref="R507:S507"/>
    <mergeCell ref="E509:F509"/>
    <mergeCell ref="H509:I509"/>
    <mergeCell ref="M509:N509"/>
    <mergeCell ref="P509:Q509"/>
    <mergeCell ref="AJ509:AK509"/>
    <mergeCell ref="AM509:AN509"/>
    <mergeCell ref="AQ509:AS509"/>
    <mergeCell ref="J511:K511"/>
    <mergeCell ref="T509:U509"/>
    <mergeCell ref="W509:X509"/>
    <mergeCell ref="AB509:AC509"/>
    <mergeCell ref="AE509:AF509"/>
    <mergeCell ref="AH512:AI512"/>
    <mergeCell ref="E513:F513"/>
    <mergeCell ref="T513:U513"/>
    <mergeCell ref="W513:X513"/>
    <mergeCell ref="AA513:AC513"/>
    <mergeCell ref="E512:F512"/>
    <mergeCell ref="H512:I512"/>
    <mergeCell ref="M512:N512"/>
    <mergeCell ref="P512:Q512"/>
    <mergeCell ref="AB552:AC552"/>
    <mergeCell ref="AE552:AF552"/>
    <mergeCell ref="AP512:AQ512"/>
    <mergeCell ref="H513:I513"/>
    <mergeCell ref="M513:N513"/>
    <mergeCell ref="P513:Q513"/>
    <mergeCell ref="AM512:AN512"/>
    <mergeCell ref="X512:Y512"/>
    <mergeCell ref="AA512:AB512"/>
    <mergeCell ref="AE512:AF512"/>
    <mergeCell ref="AJ552:AK552"/>
    <mergeCell ref="AM552:AN552"/>
    <mergeCell ref="AP552:AQ552"/>
    <mergeCell ref="J551:K551"/>
    <mergeCell ref="M551:N551"/>
    <mergeCell ref="P551:Q551"/>
    <mergeCell ref="S551:T551"/>
    <mergeCell ref="V551:W551"/>
    <mergeCell ref="P552:Q552"/>
    <mergeCell ref="S552:T552"/>
    <mergeCell ref="H553:I553"/>
    <mergeCell ref="K553:L553"/>
    <mergeCell ref="P553:Q553"/>
    <mergeCell ref="K554:L554"/>
    <mergeCell ref="N554:O554"/>
    <mergeCell ref="Q554:R554"/>
    <mergeCell ref="T554:U554"/>
    <mergeCell ref="W554:X554"/>
    <mergeCell ref="Z554:AA554"/>
    <mergeCell ref="E556:F556"/>
    <mergeCell ref="H556:I556"/>
    <mergeCell ref="K556:L556"/>
    <mergeCell ref="P556:Q556"/>
    <mergeCell ref="S556:T556"/>
    <mergeCell ref="X556:Y556"/>
    <mergeCell ref="AA556:AB556"/>
    <mergeCell ref="AF556:AG556"/>
    <mergeCell ref="AI556:AJ556"/>
    <mergeCell ref="AN556:AP556"/>
    <mergeCell ref="J558:K558"/>
    <mergeCell ref="AA559:AB559"/>
    <mergeCell ref="AJ559:AK559"/>
    <mergeCell ref="AM559:AN559"/>
    <mergeCell ref="E559:F559"/>
    <mergeCell ref="H559:I559"/>
    <mergeCell ref="P559:Q559"/>
    <mergeCell ref="S559:T559"/>
    <mergeCell ref="K559:L559"/>
    <mergeCell ref="G560:H560"/>
    <mergeCell ref="J560:K560"/>
    <mergeCell ref="M560:O560"/>
    <mergeCell ref="X559:Y55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Z47"/>
  <sheetViews>
    <sheetView workbookViewId="0" topLeftCell="A1">
      <selection activeCell="I44" sqref="I44:K44"/>
    </sheetView>
  </sheetViews>
  <sheetFormatPr defaultColWidth="9.140625" defaultRowHeight="12.75"/>
  <cols>
    <col min="1" max="16384" width="2.7109375" style="1" customWidth="1"/>
  </cols>
  <sheetData>
    <row r="2" ht="12" thickBot="1"/>
    <row r="3" spans="2:20" ht="12" thickTop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ht="11.25">
      <c r="B4" s="10"/>
      <c r="C4" s="5"/>
      <c r="D4" s="5"/>
      <c r="E4" s="5"/>
      <c r="F4" s="5"/>
      <c r="G4" s="5"/>
      <c r="H4" s="5"/>
      <c r="I4" s="5"/>
      <c r="J4" s="5"/>
      <c r="K4" s="5"/>
      <c r="L4" s="73">
        <v>5</v>
      </c>
      <c r="M4" s="73"/>
      <c r="N4" s="5" t="s">
        <v>2</v>
      </c>
      <c r="O4" s="5"/>
      <c r="P4" s="5"/>
      <c r="Q4" s="5"/>
      <c r="R4" s="5"/>
      <c r="S4" s="5"/>
      <c r="T4" s="11"/>
    </row>
    <row r="5" spans="2:20" ht="12" thickBot="1"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1"/>
    </row>
    <row r="6" spans="2:20" ht="12" thickBot="1">
      <c r="B6" s="10"/>
      <c r="C6" s="5"/>
      <c r="D6" s="5"/>
      <c r="E6" s="5"/>
      <c r="F6" s="5"/>
      <c r="G6" s="2"/>
      <c r="H6" s="3"/>
      <c r="I6" s="3"/>
      <c r="J6" s="3"/>
      <c r="K6" s="3"/>
      <c r="L6" s="3"/>
      <c r="M6" s="3"/>
      <c r="N6" s="3"/>
      <c r="O6" s="3"/>
      <c r="P6" s="4"/>
      <c r="Q6" s="5"/>
      <c r="R6" s="5"/>
      <c r="S6" s="5"/>
      <c r="T6" s="11"/>
    </row>
    <row r="7" spans="2:20" ht="11.25">
      <c r="B7" s="10"/>
      <c r="C7" s="5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1"/>
    </row>
    <row r="8" spans="2:20" ht="11.25"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</row>
    <row r="9" spans="2:20" ht="11.25">
      <c r="B9" s="10"/>
      <c r="C9" s="5"/>
      <c r="D9" s="5"/>
      <c r="E9" s="5"/>
      <c r="F9" s="5"/>
      <c r="G9" s="5"/>
      <c r="H9" s="5"/>
      <c r="I9" s="5"/>
      <c r="J9" s="5"/>
      <c r="K9" s="73">
        <v>7.53</v>
      </c>
      <c r="L9" s="73"/>
      <c r="M9" s="5" t="s">
        <v>15</v>
      </c>
      <c r="N9" s="5"/>
      <c r="O9" s="5"/>
      <c r="P9" s="5"/>
      <c r="Q9" s="5"/>
      <c r="R9" s="5"/>
      <c r="S9" s="5"/>
      <c r="T9" s="11"/>
    </row>
    <row r="10" spans="2:20" ht="11.25">
      <c r="B10" s="10"/>
      <c r="C10" s="5"/>
      <c r="D10" s="5"/>
      <c r="E10" s="5"/>
      <c r="F10" s="5" t="s">
        <v>0</v>
      </c>
      <c r="G10" s="5"/>
      <c r="H10" s="5"/>
      <c r="I10" s="5"/>
      <c r="J10" s="5"/>
      <c r="K10" s="5"/>
      <c r="L10" s="5"/>
      <c r="M10" s="5"/>
      <c r="N10" s="5"/>
      <c r="O10" s="5"/>
      <c r="P10" s="5" t="s">
        <v>1</v>
      </c>
      <c r="Q10" s="5"/>
      <c r="R10" s="5"/>
      <c r="S10" s="5"/>
      <c r="T10" s="11"/>
    </row>
    <row r="11" spans="2:20" ht="11.25"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1"/>
    </row>
    <row r="12" spans="2:20" ht="11.25"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1"/>
    </row>
    <row r="13" spans="2:20" ht="11.25">
      <c r="B13" s="10"/>
      <c r="C13" s="5" t="s">
        <v>0</v>
      </c>
      <c r="D13" s="12" t="s">
        <v>4</v>
      </c>
      <c r="E13" s="72">
        <f>+K9</f>
        <v>7.53</v>
      </c>
      <c r="F13" s="72"/>
      <c r="G13" s="12" t="s">
        <v>5</v>
      </c>
      <c r="H13" s="72">
        <f>+L4</f>
        <v>5</v>
      </c>
      <c r="I13" s="72"/>
      <c r="J13" s="12" t="s">
        <v>4</v>
      </c>
      <c r="K13" s="72">
        <f>+K9</f>
        <v>7.53</v>
      </c>
      <c r="L13" s="72"/>
      <c r="M13" s="12" t="s">
        <v>4</v>
      </c>
      <c r="N13" s="72">
        <f>+K9</f>
        <v>7.53</v>
      </c>
      <c r="O13" s="72"/>
      <c r="P13" s="5" t="s">
        <v>6</v>
      </c>
      <c r="Q13" s="5">
        <v>2</v>
      </c>
      <c r="R13" s="12" t="s">
        <v>7</v>
      </c>
      <c r="S13" s="5">
        <v>0</v>
      </c>
      <c r="T13" s="11"/>
    </row>
    <row r="14" spans="2:20" ht="12.75" customHeight="1">
      <c r="B14" s="77" t="s">
        <v>9</v>
      </c>
      <c r="C14" s="78"/>
      <c r="D14" s="72">
        <f>+H13</f>
        <v>5</v>
      </c>
      <c r="E14" s="72"/>
      <c r="F14" s="12" t="s">
        <v>4</v>
      </c>
      <c r="G14" s="72">
        <f>+K13</f>
        <v>7.53</v>
      </c>
      <c r="H14" s="72"/>
      <c r="I14" s="12" t="s">
        <v>4</v>
      </c>
      <c r="J14" s="72">
        <f>+N13</f>
        <v>7.53</v>
      </c>
      <c r="K14" s="72"/>
      <c r="L14" s="5" t="s">
        <v>6</v>
      </c>
      <c r="M14" s="5">
        <v>2</v>
      </c>
      <c r="N14" s="5" t="s">
        <v>10</v>
      </c>
      <c r="O14" s="72">
        <f>+E13</f>
        <v>7.53</v>
      </c>
      <c r="P14" s="72"/>
      <c r="Q14" s="5" t="s">
        <v>7</v>
      </c>
      <c r="R14" s="72">
        <f>(D14*G14*J14/M14)/O14</f>
        <v>18.825</v>
      </c>
      <c r="S14" s="72"/>
      <c r="T14" s="11" t="s">
        <v>11</v>
      </c>
    </row>
    <row r="15" spans="2:20" ht="11.25">
      <c r="B15" s="10"/>
      <c r="C15" s="12" t="s">
        <v>0</v>
      </c>
      <c r="D15" s="12" t="s">
        <v>12</v>
      </c>
      <c r="E15" s="12" t="s">
        <v>1</v>
      </c>
      <c r="F15" s="12" t="s">
        <v>5</v>
      </c>
      <c r="G15" s="72">
        <f>+L4</f>
        <v>5</v>
      </c>
      <c r="H15" s="72"/>
      <c r="I15" s="12" t="s">
        <v>4</v>
      </c>
      <c r="J15" s="72">
        <f>+K9</f>
        <v>7.53</v>
      </c>
      <c r="K15" s="72"/>
      <c r="L15" s="12" t="s">
        <v>7</v>
      </c>
      <c r="M15" s="5">
        <v>0</v>
      </c>
      <c r="N15" s="5"/>
      <c r="O15" s="5"/>
      <c r="P15" s="5"/>
      <c r="Q15" s="5"/>
      <c r="R15" s="5"/>
      <c r="S15" s="5"/>
      <c r="T15" s="11"/>
    </row>
    <row r="16" spans="2:20" ht="11.25">
      <c r="B16" s="10"/>
      <c r="C16" s="5" t="s">
        <v>13</v>
      </c>
      <c r="D16" s="72">
        <f>+G15</f>
        <v>5</v>
      </c>
      <c r="E16" s="72"/>
      <c r="F16" s="12" t="s">
        <v>4</v>
      </c>
      <c r="G16" s="72">
        <f>+J15</f>
        <v>7.53</v>
      </c>
      <c r="H16" s="72"/>
      <c r="I16" s="12" t="s">
        <v>5</v>
      </c>
      <c r="J16" s="72">
        <f>+R14</f>
        <v>18.825</v>
      </c>
      <c r="K16" s="72"/>
      <c r="L16" s="12" t="s">
        <v>7</v>
      </c>
      <c r="M16" s="72">
        <f>+D16*G16-J16</f>
        <v>18.825</v>
      </c>
      <c r="N16" s="72"/>
      <c r="O16" s="5" t="s">
        <v>11</v>
      </c>
      <c r="P16" s="5"/>
      <c r="Q16" s="5"/>
      <c r="R16" s="5"/>
      <c r="S16" s="5"/>
      <c r="T16" s="11"/>
    </row>
    <row r="17" spans="2:20" ht="11.25">
      <c r="B17" s="10"/>
      <c r="C17" s="13" t="s">
        <v>8</v>
      </c>
      <c r="D17" s="75">
        <f>+R14</f>
        <v>18.825</v>
      </c>
      <c r="E17" s="75"/>
      <c r="F17" s="13" t="s">
        <v>11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1"/>
    </row>
    <row r="18" spans="2:20" ht="11.25">
      <c r="B18" s="10"/>
      <c r="C18" s="13" t="s">
        <v>13</v>
      </c>
      <c r="D18" s="75">
        <f>+M16</f>
        <v>18.825</v>
      </c>
      <c r="E18" s="75"/>
      <c r="F18" s="13" t="s">
        <v>11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1"/>
    </row>
    <row r="19" spans="2:20" ht="12" thickBot="1">
      <c r="B19" s="14"/>
      <c r="C19" s="15" t="s">
        <v>14</v>
      </c>
      <c r="D19" s="79">
        <v>0</v>
      </c>
      <c r="E19" s="79"/>
      <c r="F19" s="15" t="s">
        <v>11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</row>
    <row r="20" spans="2:26" ht="12" thickTop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9"/>
    </row>
    <row r="21" spans="2:26" ht="11.25">
      <c r="B21" s="10"/>
      <c r="C21" s="5"/>
      <c r="D21" s="5"/>
      <c r="E21" s="5"/>
      <c r="F21" s="73">
        <v>5</v>
      </c>
      <c r="G21" s="73"/>
      <c r="H21" s="5" t="s">
        <v>2</v>
      </c>
      <c r="I21" s="5"/>
      <c r="J21" s="5"/>
      <c r="K21" s="1" t="s">
        <v>16</v>
      </c>
      <c r="L21" s="76">
        <v>25</v>
      </c>
      <c r="M21" s="76"/>
      <c r="N21" s="5" t="s">
        <v>11</v>
      </c>
      <c r="P21" s="5"/>
      <c r="U21" s="5"/>
      <c r="V21" s="5"/>
      <c r="W21" s="5"/>
      <c r="X21" s="5"/>
      <c r="Y21" s="5"/>
      <c r="Z21" s="11"/>
    </row>
    <row r="22" spans="2:26" ht="12" thickBot="1">
      <c r="B22" s="1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2:26" ht="12" thickBot="1">
      <c r="B23" s="10"/>
      <c r="C23" s="5"/>
      <c r="D23" s="5"/>
      <c r="E23" s="5"/>
      <c r="F23" s="5"/>
      <c r="G23" s="2"/>
      <c r="H23" s="3"/>
      <c r="I23" s="3"/>
      <c r="J23" s="3"/>
      <c r="K23" s="3"/>
      <c r="L23" s="3"/>
      <c r="M23" s="3"/>
      <c r="N23" s="3"/>
      <c r="O23" s="3"/>
      <c r="P23" s="4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2:26" ht="11.25">
      <c r="B24" s="10"/>
      <c r="C24" s="5" t="s">
        <v>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2:26" ht="11.25">
      <c r="B25" s="1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2:26" ht="11.25">
      <c r="B26" s="10"/>
      <c r="C26" s="5"/>
      <c r="D26" s="5"/>
      <c r="E26" s="5"/>
      <c r="F26" s="5"/>
      <c r="G26" s="5"/>
      <c r="H26" s="73">
        <v>1.56</v>
      </c>
      <c r="I26" s="73"/>
      <c r="J26" s="5" t="s">
        <v>15</v>
      </c>
      <c r="M26" s="73">
        <v>1.56</v>
      </c>
      <c r="N26" s="73"/>
      <c r="O26" s="5" t="s">
        <v>15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2:26" ht="11.25">
      <c r="B27" s="10"/>
      <c r="C27" s="5"/>
      <c r="D27" s="5"/>
      <c r="E27" s="5"/>
      <c r="F27" s="5" t="s">
        <v>0</v>
      </c>
      <c r="G27" s="5"/>
      <c r="H27" s="5"/>
      <c r="I27" s="5"/>
      <c r="J27" s="5"/>
      <c r="K27" s="5"/>
      <c r="L27" s="5"/>
      <c r="M27" s="5"/>
      <c r="N27" s="5"/>
      <c r="O27" s="5"/>
      <c r="P27" s="5" t="s">
        <v>1</v>
      </c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2:26" ht="11.25">
      <c r="B28" s="10"/>
      <c r="C28" s="5"/>
      <c r="D28" s="5"/>
      <c r="E28" s="5"/>
      <c r="F28" s="5"/>
      <c r="G28" s="5"/>
      <c r="H28" s="5"/>
      <c r="I28" s="5"/>
      <c r="J28" s="74">
        <f>+H26+M26</f>
        <v>3.12</v>
      </c>
      <c r="K28" s="74"/>
      <c r="L28" s="5" t="s">
        <v>15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2:26" ht="11.25"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T29" s="5"/>
      <c r="U29" s="5"/>
      <c r="V29" s="5"/>
      <c r="W29" s="5"/>
      <c r="X29" s="5"/>
      <c r="Y29" s="5"/>
      <c r="Z29" s="11"/>
    </row>
    <row r="30" spans="2:26" ht="11.25">
      <c r="B30" s="10"/>
      <c r="C30" s="5" t="s">
        <v>0</v>
      </c>
      <c r="D30" s="12" t="s">
        <v>4</v>
      </c>
      <c r="E30" s="72">
        <f>+J28</f>
        <v>3.12</v>
      </c>
      <c r="F30" s="72"/>
      <c r="G30" s="12" t="s">
        <v>5</v>
      </c>
      <c r="H30" s="72">
        <f>+F21</f>
        <v>5</v>
      </c>
      <c r="I30" s="72"/>
      <c r="J30" s="12" t="s">
        <v>4</v>
      </c>
      <c r="K30" s="72">
        <f>+J28</f>
        <v>3.12</v>
      </c>
      <c r="L30" s="72"/>
      <c r="M30" s="12" t="s">
        <v>4</v>
      </c>
      <c r="N30" s="72">
        <f>+J28</f>
        <v>3.12</v>
      </c>
      <c r="O30" s="72"/>
      <c r="P30" s="5" t="s">
        <v>6</v>
      </c>
      <c r="Q30" s="5">
        <v>2</v>
      </c>
      <c r="R30" s="6" t="s">
        <v>5</v>
      </c>
      <c r="S30" s="72">
        <f>+L21</f>
        <v>25</v>
      </c>
      <c r="T30" s="72"/>
      <c r="U30" s="12" t="s">
        <v>4</v>
      </c>
      <c r="V30" s="72">
        <f>+M26</f>
        <v>1.56</v>
      </c>
      <c r="W30" s="72"/>
      <c r="X30" s="12" t="s">
        <v>7</v>
      </c>
      <c r="Y30" s="5">
        <v>0</v>
      </c>
      <c r="Z30" s="11"/>
    </row>
    <row r="31" spans="2:26" ht="11.25">
      <c r="B31" s="77" t="s">
        <v>18</v>
      </c>
      <c r="C31" s="78"/>
      <c r="D31" s="72">
        <f>+H30</f>
        <v>5</v>
      </c>
      <c r="E31" s="72"/>
      <c r="F31" s="12" t="s">
        <v>4</v>
      </c>
      <c r="G31" s="72">
        <f>+K30</f>
        <v>3.12</v>
      </c>
      <c r="H31" s="72"/>
      <c r="I31" s="12" t="s">
        <v>4</v>
      </c>
      <c r="J31" s="72">
        <f>+N30</f>
        <v>3.12</v>
      </c>
      <c r="K31" s="72"/>
      <c r="L31" s="5" t="s">
        <v>6</v>
      </c>
      <c r="M31" s="5">
        <v>2</v>
      </c>
      <c r="N31" s="5" t="s">
        <v>17</v>
      </c>
      <c r="O31" s="72">
        <f>+S30</f>
        <v>25</v>
      </c>
      <c r="P31" s="72"/>
      <c r="Q31" s="12" t="s">
        <v>4</v>
      </c>
      <c r="R31" s="72">
        <f>+V30</f>
        <v>1.56</v>
      </c>
      <c r="S31" s="72"/>
      <c r="T31" s="1" t="s">
        <v>10</v>
      </c>
      <c r="U31" s="72">
        <f>+E30</f>
        <v>3.12</v>
      </c>
      <c r="V31" s="72"/>
      <c r="W31" s="5" t="s">
        <v>19</v>
      </c>
      <c r="X31" s="72">
        <f>((D31*G31*J31/M31)-O31*R31)/U31</f>
        <v>-4.699999999999999</v>
      </c>
      <c r="Y31" s="72"/>
      <c r="Z31" s="11" t="s">
        <v>11</v>
      </c>
    </row>
    <row r="32" spans="2:26" ht="11.25">
      <c r="B32" s="10"/>
      <c r="C32" s="12" t="s">
        <v>0</v>
      </c>
      <c r="D32" s="12" t="s">
        <v>12</v>
      </c>
      <c r="E32" s="12" t="s">
        <v>1</v>
      </c>
      <c r="F32" s="12" t="s">
        <v>5</v>
      </c>
      <c r="G32" s="72">
        <f>+F21</f>
        <v>5</v>
      </c>
      <c r="H32" s="72"/>
      <c r="I32" s="12" t="s">
        <v>4</v>
      </c>
      <c r="J32" s="72">
        <f>+M26</f>
        <v>1.56</v>
      </c>
      <c r="K32" s="72"/>
      <c r="L32" s="12" t="s">
        <v>5</v>
      </c>
      <c r="M32" s="72">
        <f>+L21</f>
        <v>25</v>
      </c>
      <c r="N32" s="72"/>
      <c r="O32" s="12" t="s">
        <v>7</v>
      </c>
      <c r="P32" s="5">
        <v>0</v>
      </c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2:26" ht="11.25">
      <c r="B33" s="10"/>
      <c r="C33" s="5" t="s">
        <v>13</v>
      </c>
      <c r="D33" s="72">
        <f>+G32</f>
        <v>5</v>
      </c>
      <c r="E33" s="72"/>
      <c r="F33" s="12" t="s">
        <v>4</v>
      </c>
      <c r="G33" s="72">
        <f>+J32</f>
        <v>1.56</v>
      </c>
      <c r="H33" s="72"/>
      <c r="I33" s="12" t="s">
        <v>12</v>
      </c>
      <c r="J33" s="72">
        <f>+M32</f>
        <v>25</v>
      </c>
      <c r="K33" s="72"/>
      <c r="L33" s="12" t="s">
        <v>5</v>
      </c>
      <c r="M33" s="72">
        <f>+X31</f>
        <v>-4.699999999999999</v>
      </c>
      <c r="N33" s="72"/>
      <c r="O33" s="12" t="s">
        <v>7</v>
      </c>
      <c r="P33" s="72">
        <f>+D33*G33+J33-M33</f>
        <v>37.5</v>
      </c>
      <c r="Q33" s="72"/>
      <c r="R33" s="5" t="s">
        <v>11</v>
      </c>
      <c r="S33" s="5"/>
      <c r="U33" s="5"/>
      <c r="V33" s="5"/>
      <c r="W33" s="5"/>
      <c r="X33" s="5"/>
      <c r="Y33" s="5"/>
      <c r="Z33" s="11"/>
    </row>
    <row r="34" spans="2:26" ht="11.25">
      <c r="B34" s="10"/>
      <c r="C34" s="13" t="s">
        <v>8</v>
      </c>
      <c r="D34" s="75">
        <f>+X31</f>
        <v>-4.699999999999999</v>
      </c>
      <c r="E34" s="75"/>
      <c r="F34" s="13" t="s">
        <v>11</v>
      </c>
      <c r="G34" s="5"/>
      <c r="H34" s="5"/>
      <c r="I34" s="5"/>
      <c r="J34" s="5"/>
      <c r="K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2:26" ht="11.25">
      <c r="B35" s="10"/>
      <c r="C35" s="13" t="s">
        <v>13</v>
      </c>
      <c r="D35" s="75">
        <f>+P33</f>
        <v>37.5</v>
      </c>
      <c r="E35" s="75"/>
      <c r="F35" s="13" t="s">
        <v>11</v>
      </c>
      <c r="G35" s="5"/>
      <c r="H35" s="5"/>
      <c r="I35" s="5"/>
      <c r="J35" s="5"/>
      <c r="K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2:26" ht="12" thickBot="1">
      <c r="B36" s="14"/>
      <c r="C36" s="15" t="s">
        <v>14</v>
      </c>
      <c r="D36" s="79">
        <v>0</v>
      </c>
      <c r="E36" s="79"/>
      <c r="F36" s="15" t="s">
        <v>11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7"/>
    </row>
    <row r="37" ht="12" thickTop="1"/>
    <row r="39" spans="4:15" ht="11.25">
      <c r="D39" s="5"/>
      <c r="E39" s="5"/>
      <c r="F39" s="5"/>
      <c r="G39" s="5"/>
      <c r="H39" s="5"/>
      <c r="I39" s="5"/>
      <c r="J39" s="73">
        <v>5</v>
      </c>
      <c r="K39" s="73"/>
      <c r="L39" s="5" t="s">
        <v>2</v>
      </c>
      <c r="M39" s="5"/>
      <c r="N39" s="5"/>
      <c r="O39" s="5"/>
    </row>
    <row r="40" spans="4:15" ht="12" thickBot="1">
      <c r="D40" s="18"/>
      <c r="E40" s="5"/>
      <c r="F40" s="5"/>
      <c r="G40" s="5"/>
      <c r="H40" s="5"/>
      <c r="I40" s="5"/>
      <c r="J40" s="5"/>
      <c r="K40" s="5"/>
      <c r="L40" s="5"/>
      <c r="M40" s="5"/>
      <c r="N40" s="5"/>
      <c r="O40" s="19"/>
    </row>
    <row r="41" spans="2:17" ht="12" thickBot="1">
      <c r="B41" s="1" t="s">
        <v>20</v>
      </c>
      <c r="D41" s="18"/>
      <c r="E41" s="20"/>
      <c r="F41" s="21"/>
      <c r="G41" s="21"/>
      <c r="H41" s="21"/>
      <c r="I41" s="21"/>
      <c r="J41" s="21"/>
      <c r="K41" s="21"/>
      <c r="L41" s="21"/>
      <c r="M41" s="21"/>
      <c r="N41" s="22"/>
      <c r="O41" s="19"/>
      <c r="Q41" s="1" t="s">
        <v>21</v>
      </c>
    </row>
    <row r="42" spans="2:17" ht="12" thickTop="1">
      <c r="B42" s="1" t="s">
        <v>3</v>
      </c>
      <c r="D42" s="18"/>
      <c r="O42" s="19"/>
      <c r="Q42" s="1" t="s">
        <v>22</v>
      </c>
    </row>
    <row r="44" spans="9:11" ht="11.25">
      <c r="I44" s="73">
        <v>1.56</v>
      </c>
      <c r="J44" s="73"/>
      <c r="K44" s="5" t="s">
        <v>15</v>
      </c>
    </row>
    <row r="45" spans="4:15" ht="11.25">
      <c r="D45" s="1" t="s">
        <v>0</v>
      </c>
      <c r="O45" s="6" t="s">
        <v>1</v>
      </c>
    </row>
    <row r="47" spans="3:23" ht="11.25">
      <c r="C47" s="5" t="s">
        <v>0</v>
      </c>
      <c r="D47" s="12" t="s">
        <v>4</v>
      </c>
      <c r="E47" s="72">
        <f>+I44</f>
        <v>1.56</v>
      </c>
      <c r="F47" s="72"/>
      <c r="G47" s="12" t="s">
        <v>5</v>
      </c>
      <c r="H47" s="72">
        <f>+J39</f>
        <v>5</v>
      </c>
      <c r="I47" s="72"/>
      <c r="J47" s="12" t="s">
        <v>4</v>
      </c>
      <c r="K47" s="72">
        <f>+I44</f>
        <v>1.56</v>
      </c>
      <c r="L47" s="72"/>
      <c r="M47" s="12" t="s">
        <v>4</v>
      </c>
      <c r="N47" s="72">
        <f>+I44</f>
        <v>1.56</v>
      </c>
      <c r="O47" s="72"/>
      <c r="P47" s="5" t="s">
        <v>6</v>
      </c>
      <c r="Q47" s="5">
        <v>2</v>
      </c>
      <c r="R47" s="6" t="s">
        <v>5</v>
      </c>
      <c r="S47" s="1" t="s">
        <v>20</v>
      </c>
      <c r="T47" s="6" t="s">
        <v>5</v>
      </c>
      <c r="U47" s="1" t="s">
        <v>21</v>
      </c>
      <c r="V47" s="12" t="s">
        <v>7</v>
      </c>
      <c r="W47" s="5">
        <v>0</v>
      </c>
    </row>
  </sheetData>
  <mergeCells count="57">
    <mergeCell ref="K30:L30"/>
    <mergeCell ref="X31:Y31"/>
    <mergeCell ref="V30:W30"/>
    <mergeCell ref="O31:P31"/>
    <mergeCell ref="R31:S31"/>
    <mergeCell ref="U31:V31"/>
    <mergeCell ref="S30:T30"/>
    <mergeCell ref="N30:O30"/>
    <mergeCell ref="M33:N33"/>
    <mergeCell ref="P33:Q33"/>
    <mergeCell ref="J33:K33"/>
    <mergeCell ref="J31:K31"/>
    <mergeCell ref="J32:K32"/>
    <mergeCell ref="M32:N32"/>
    <mergeCell ref="D35:E35"/>
    <mergeCell ref="D36:E36"/>
    <mergeCell ref="H26:I26"/>
    <mergeCell ref="D34:E34"/>
    <mergeCell ref="G32:H32"/>
    <mergeCell ref="D33:E33"/>
    <mergeCell ref="G33:H33"/>
    <mergeCell ref="E30:F30"/>
    <mergeCell ref="H30:I30"/>
    <mergeCell ref="D18:E18"/>
    <mergeCell ref="D19:E19"/>
    <mergeCell ref="F21:G21"/>
    <mergeCell ref="B31:C31"/>
    <mergeCell ref="D31:E31"/>
    <mergeCell ref="G31:H31"/>
    <mergeCell ref="R14:S14"/>
    <mergeCell ref="G15:H15"/>
    <mergeCell ref="J15:K15"/>
    <mergeCell ref="D16:E16"/>
    <mergeCell ref="G16:H16"/>
    <mergeCell ref="J16:K16"/>
    <mergeCell ref="M16:N16"/>
    <mergeCell ref="D14:E14"/>
    <mergeCell ref="B14:C14"/>
    <mergeCell ref="G14:H14"/>
    <mergeCell ref="J14:K14"/>
    <mergeCell ref="E13:F13"/>
    <mergeCell ref="H13:I13"/>
    <mergeCell ref="K13:L13"/>
    <mergeCell ref="L4:M4"/>
    <mergeCell ref="K9:L9"/>
    <mergeCell ref="O14:P14"/>
    <mergeCell ref="L21:M21"/>
    <mergeCell ref="E47:F47"/>
    <mergeCell ref="H47:I47"/>
    <mergeCell ref="K47:L47"/>
    <mergeCell ref="N13:O13"/>
    <mergeCell ref="N47:O47"/>
    <mergeCell ref="I44:J44"/>
    <mergeCell ref="J28:K28"/>
    <mergeCell ref="M26:N26"/>
    <mergeCell ref="J39:K39"/>
    <mergeCell ref="D17:E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anadoluray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gurcan.berberoglu</dc:creator>
  <cp:keywords/>
  <dc:description/>
  <cp:lastModifiedBy>grcn</cp:lastModifiedBy>
  <dcterms:created xsi:type="dcterms:W3CDTF">2009-08-24T12:04:31Z</dcterms:created>
  <dcterms:modified xsi:type="dcterms:W3CDTF">2011-11-04T18:27:12Z</dcterms:modified>
  <cp:category/>
  <cp:version/>
  <cp:contentType/>
  <cp:contentStatus/>
</cp:coreProperties>
</file>