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rca\Desktop\"/>
    </mc:Choice>
  </mc:AlternateContent>
  <xr:revisionPtr revIDLastSave="0" documentId="13_ncr:1_{3B23A9D5-FF0F-44AD-9C2E-57A5C8585930}" xr6:coauthVersionLast="47" xr6:coauthVersionMax="47" xr10:uidLastSave="{00000000-0000-0000-0000-000000000000}"/>
  <bookViews>
    <workbookView xWindow="-120" yWindow="-120" windowWidth="29040" windowHeight="15840" tabRatio="626" xr2:uid="{C01D000C-BF18-475C-A4A3-F0608E45A874}"/>
  </bookViews>
  <sheets>
    <sheet name="basamak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9" i="16" l="1"/>
  <c r="R174" i="16"/>
  <c r="V169" i="16"/>
  <c r="Q171" i="16" s="1"/>
  <c r="Q138" i="16" s="1"/>
  <c r="AJ165" i="16"/>
  <c r="AJ161" i="16"/>
  <c r="AP157" i="16"/>
  <c r="AI159" i="16" s="1"/>
  <c r="AQ155" i="16"/>
  <c r="AV155" i="16" s="1"/>
  <c r="AR168" i="16" s="1"/>
  <c r="AA155" i="16"/>
  <c r="F148" i="16"/>
  <c r="G157" i="16" s="1"/>
  <c r="AG163" i="16" s="1"/>
  <c r="L132" i="16"/>
  <c r="H129" i="16"/>
  <c r="Q126" i="16"/>
  <c r="F126" i="16"/>
  <c r="J123" i="16"/>
  <c r="E120" i="16"/>
  <c r="E119" i="16" s="1"/>
  <c r="AA105" i="16"/>
  <c r="N105" i="16"/>
  <c r="AW101" i="16"/>
  <c r="K98" i="16"/>
  <c r="M94" i="16"/>
  <c r="P92" i="16" s="1"/>
  <c r="AC78" i="16"/>
  <c r="AC77" i="16"/>
  <c r="L74" i="16"/>
  <c r="H74" i="16"/>
  <c r="P74" i="16" s="1"/>
  <c r="U74" i="16" s="1"/>
  <c r="H72" i="16"/>
  <c r="R80" i="16" s="1"/>
  <c r="R81" i="16" s="1"/>
  <c r="H71" i="16"/>
  <c r="O80" i="16" s="1"/>
  <c r="G19" i="16"/>
  <c r="J17" i="16"/>
  <c r="X8" i="16"/>
  <c r="V10" i="16" s="1"/>
  <c r="Z6" i="16"/>
  <c r="AL163" i="16" l="1"/>
  <c r="AG161" i="16"/>
  <c r="AM161" i="16" s="1"/>
  <c r="AO144" i="16" s="1"/>
  <c r="AI118" i="16"/>
  <c r="H126" i="16"/>
  <c r="T126" i="16" s="1"/>
  <c r="V103" i="16" s="1"/>
  <c r="I122" i="16"/>
  <c r="U80" i="16"/>
  <c r="O81" i="16"/>
  <c r="U81" i="16" s="1"/>
  <c r="AI156" i="16"/>
  <c r="T181" i="16"/>
  <c r="P184" i="16" s="1"/>
  <c r="AL169" i="16"/>
  <c r="AO163" i="16"/>
  <c r="AG165" i="16" s="1"/>
  <c r="AN165" i="16" s="1"/>
  <c r="E122" i="16"/>
  <c r="M122" i="16" s="1"/>
  <c r="R122" i="16" s="1"/>
  <c r="AB111" i="16"/>
  <c r="AI111" i="16"/>
  <c r="Q30" i="16"/>
  <c r="G76" i="16" s="1"/>
  <c r="AN122" i="16"/>
  <c r="M129" i="16" l="1"/>
  <c r="P129" i="16" s="1"/>
  <c r="F132" i="16" s="1"/>
  <c r="O132" i="16" s="1"/>
  <c r="E133" i="16" s="1"/>
  <c r="AG127" i="16" s="1"/>
  <c r="AA103" i="16"/>
  <c r="AM89" i="16" s="1"/>
  <c r="J176" i="16"/>
  <c r="L177" i="16" s="1"/>
  <c r="M178" i="16" s="1"/>
  <c r="O179" i="16" s="1"/>
  <c r="M150" i="16"/>
  <c r="AK166" i="16"/>
  <c r="AP166" i="16" s="1"/>
  <c r="W14" i="16"/>
  <c r="O76" i="16"/>
  <c r="V166" i="16" l="1"/>
  <c r="V164" i="16" s="1"/>
  <c r="V162" i="16" s="1"/>
  <c r="AI169" i="16"/>
  <c r="AP169" i="16" s="1"/>
  <c r="D185" i="16" s="1"/>
  <c r="F182" i="16" s="1"/>
  <c r="F191" i="16" s="1"/>
  <c r="F103" i="16"/>
  <c r="D102" i="16"/>
  <c r="T105" i="16"/>
  <c r="V148" i="16"/>
  <c r="V150" i="16" s="1"/>
  <c r="V152" i="16" s="1"/>
  <c r="M152" i="16"/>
  <c r="M78" i="16"/>
  <c r="AH78" i="16" s="1"/>
  <c r="AG78" i="16" s="1"/>
  <c r="M77" i="16"/>
  <c r="AH77" i="16" s="1"/>
  <c r="AG77" i="16" s="1"/>
  <c r="F78" i="16"/>
  <c r="X78" i="16" s="1"/>
  <c r="F77" i="16"/>
  <c r="X77" i="16" s="1"/>
  <c r="AB101" i="16"/>
  <c r="T111" i="16" l="1"/>
  <c r="L111" i="16"/>
  <c r="X113" i="16" s="1"/>
  <c r="AB77" i="16"/>
  <c r="AL77" i="16"/>
  <c r="AL78" i="16"/>
  <c r="AB78" i="16"/>
</calcChain>
</file>

<file path=xl/sharedStrings.xml><?xml version="1.0" encoding="utf-8"?>
<sst xmlns="http://schemas.openxmlformats.org/spreadsheetml/2006/main" count="250" uniqueCount="103">
  <si>
    <t>m</t>
  </si>
  <si>
    <t>+</t>
  </si>
  <si>
    <t>Bg =</t>
  </si>
  <si>
    <t>Bh =</t>
  </si>
  <si>
    <t>mm</t>
  </si>
  <si>
    <t>Bh=</t>
  </si>
  <si>
    <t>*</t>
  </si>
  <si>
    <t>=</t>
  </si>
  <si>
    <t>Dikkat sadece sarı hücrelere data girilecek.</t>
  </si>
  <si>
    <t xml:space="preserve"> /</t>
  </si>
  <si>
    <t xml:space="preserve"> /(</t>
  </si>
  <si>
    <t>)=</t>
  </si>
  <si>
    <t>L=</t>
  </si>
  <si>
    <t>adet</t>
  </si>
  <si>
    <t>-</t>
  </si>
  <si>
    <t>…</t>
  </si>
  <si>
    <t>°</t>
  </si>
  <si>
    <t>B =</t>
  </si>
  <si>
    <t>iki kenar boşta</t>
  </si>
  <si>
    <t>H =</t>
  </si>
  <si>
    <t>Basamak yükseklik ve genişlik hesabı</t>
  </si>
  <si>
    <t>(Bh = basamak yüksekliği  ;  Bg = basamak genişliği)</t>
  </si>
  <si>
    <t xml:space="preserve"> (yaklaşık ~ 0,27 m. olmalı)</t>
  </si>
  <si>
    <t>basamak adedi =</t>
  </si>
  <si>
    <t xml:space="preserve"> (yaklaşık ~ 0,16 m. olmalı)</t>
  </si>
  <si>
    <t>2 * Bh + Bg = 0,63 m.  olmalı.</t>
  </si>
  <si>
    <t>(bir adet merdiven kolu plağında)</t>
  </si>
  <si>
    <t>b=</t>
  </si>
  <si>
    <r>
      <rPr>
        <b/>
        <sz val="12"/>
        <color theme="7" tint="-0.499984740745262"/>
        <rFont val="Arial"/>
        <family val="2"/>
        <charset val="162"/>
      </rPr>
      <t>MERDİVEN BASAMAK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</si>
  <si>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Yandaki hesap Prof.Dr.Adem Doğangün "Betonarme yapıların hesap ve tasarımı" adlı kitaptan yararlanılmıştır.Birsen Yayınevi</t>
  </si>
  <si>
    <t>MERDİVEN EĞİMİ</t>
  </si>
  <si>
    <t>Basamak genişliği Bg (mm.)</t>
  </si>
  <si>
    <t>Bas.rıht yüksek.Bh (mm.)</t>
  </si>
  <si>
    <r>
      <t>20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25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(yatık eğimli merdivenler)</t>
    </r>
  </si>
  <si>
    <t>320 &lt; Bg &lt; 360</t>
  </si>
  <si>
    <t>120 &lt; Bh &lt; 150</t>
  </si>
  <si>
    <r>
      <t>25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36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(normal eğimli merdivenler)</t>
    </r>
  </si>
  <si>
    <t>260 &lt;= Bg &lt;= 320</t>
  </si>
  <si>
    <t>150 &lt;= Bh &lt;= 190</t>
  </si>
  <si>
    <r>
      <t>36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45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(dik eğimli merdivenler)</t>
    </r>
  </si>
  <si>
    <t>220 &lt; Bg &lt; 260</t>
  </si>
  <si>
    <t>190 &lt; Bh &lt; 220</t>
  </si>
  <si>
    <t>YAPI ADI</t>
  </si>
  <si>
    <t>Maksimum değer (mm.)</t>
  </si>
  <si>
    <t>Normal değer (mm.)</t>
  </si>
  <si>
    <t>Bg</t>
  </si>
  <si>
    <t>Bh</t>
  </si>
  <si>
    <t>Çatı ve bodrum merdiveni</t>
  </si>
  <si>
    <t>Apartman,ev,sosyal mesken v.b.</t>
  </si>
  <si>
    <t>Yüksek bina ,okul ,resmi bina</t>
  </si>
  <si>
    <t>Hastane ,sinema ,tiyatro v.b.</t>
  </si>
  <si>
    <t>Dini bina ,anıtlar</t>
  </si>
  <si>
    <t>Bahçe merdivenleri</t>
  </si>
  <si>
    <r>
      <t>20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25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(yatık eğimli merdivenler)      Bg + 2 * Bh = 620</t>
    </r>
  </si>
  <si>
    <r>
      <t>25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36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(normal eğimli merdivenler)   Bg + 2 * Bh = 630 </t>
    </r>
  </si>
  <si>
    <r>
      <t>36</t>
    </r>
    <r>
      <rPr>
        <sz val="8"/>
        <rFont val="Symbol"/>
        <family val="1"/>
        <charset val="2"/>
      </rPr>
      <t>°~</t>
    </r>
    <r>
      <rPr>
        <sz val="8"/>
        <rFont val="Arial"/>
        <family val="2"/>
        <charset val="162"/>
      </rPr>
      <t>45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  <charset val="162"/>
      </rPr>
      <t xml:space="preserve"> (dik eğimli merdivenler)         Bg + 2 * Bh = 640</t>
    </r>
  </si>
  <si>
    <t>Rahatlık ilişkisi                                      Bg - Bh = 120mm</t>
  </si>
  <si>
    <t>Güvenlik ilişkisi                                     Bg + Bh = 460mm</t>
  </si>
  <si>
    <t>a=</t>
  </si>
  <si>
    <t>eğime göre tip</t>
  </si>
  <si>
    <t>&lt;</t>
  </si>
  <si>
    <t>olmalı.</t>
  </si>
  <si>
    <t>Rahatlığa göre</t>
  </si>
  <si>
    <t>Bg - Bh =</t>
  </si>
  <si>
    <t>(yaklaşık 120mm. olmalı)</t>
  </si>
  <si>
    <t>Güvenliğe göre</t>
  </si>
  <si>
    <t>Bg + Bh =</t>
  </si>
  <si>
    <t>(yaklaşık 460mm. olmalı)</t>
  </si>
  <si>
    <r>
      <rPr>
        <b/>
        <sz val="12"/>
        <color theme="7" tint="-0.499984740745262"/>
        <rFont val="Arial"/>
        <family val="2"/>
        <charset val="162"/>
      </rPr>
      <t>HELİSEL MERDİVEN BASAMAK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</si>
  <si>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Bu hesap Sadık Köseoğlu "Merdivenler" adlı kitaptan yararlanılmıştır.Matbaa teknisyenleri basımevi (4.cü baskı 1992)</t>
  </si>
  <si>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>o =</t>
    </r>
  </si>
  <si>
    <r>
      <rPr>
        <sz val="8"/>
        <color theme="1"/>
        <rFont val="Symbol"/>
        <family val="1"/>
        <charset val="2"/>
      </rPr>
      <t xml:space="preserve"> -j</t>
    </r>
    <r>
      <rPr>
        <sz val="8"/>
        <color theme="1"/>
        <rFont val="Arial"/>
        <family val="2"/>
        <charset val="162"/>
      </rPr>
      <t>o =</t>
    </r>
  </si>
  <si>
    <t>rs =</t>
  </si>
  <si>
    <t>rr =</t>
  </si>
  <si>
    <t>kat yüksekliği     2 * hl =</t>
  </si>
  <si>
    <t>ortalama yarıçap  rm =</t>
  </si>
  <si>
    <t>açılım açısı</t>
  </si>
  <si>
    <r>
      <t xml:space="preserve">2 * </t>
    </r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 xml:space="preserve">o = n * Bg * 360 / 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rm )</t>
    </r>
  </si>
  <si>
    <r>
      <t xml:space="preserve">2 * </t>
    </r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>o =</t>
    </r>
  </si>
  <si>
    <r>
      <t xml:space="preserve"> *</t>
    </r>
    <r>
      <rPr>
        <sz val="8"/>
        <color theme="1"/>
        <rFont val="Symbol"/>
        <family val="1"/>
        <charset val="2"/>
      </rPr>
      <t xml:space="preserve"> p</t>
    </r>
    <r>
      <rPr>
        <sz val="8"/>
        <color theme="1"/>
        <rFont val="Arial"/>
        <family val="2"/>
        <charset val="162"/>
      </rPr>
      <t xml:space="preserve"> *</t>
    </r>
  </si>
  <si>
    <t>merdiven helisinin adım yüksekliği</t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</si>
  <si>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</si>
  <si>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r>
      <t xml:space="preserve">hg = 360 * 2 * hl / ( 2 * </t>
    </r>
    <r>
      <rPr>
        <sz val="8"/>
        <color theme="1"/>
        <rFont val="Symbol"/>
        <family val="1"/>
        <charset val="2"/>
      </rPr>
      <t>j</t>
    </r>
    <r>
      <rPr>
        <sz val="8"/>
        <color theme="1"/>
        <rFont val="Arial"/>
        <family val="2"/>
        <charset val="162"/>
      </rPr>
      <t>o )</t>
    </r>
  </si>
  <si>
    <t>hg =</t>
  </si>
  <si>
    <t>ortalama merdiven eğimi</t>
  </si>
  <si>
    <r>
      <t xml:space="preserve">tan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 hg / ( 2 *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rm ) </t>
    </r>
  </si>
  <si>
    <r>
      <t xml:space="preserve">tan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 =</t>
    </r>
  </si>
  <si>
    <t>dönüş kısmındaki basamak adedi =</t>
  </si>
  <si>
    <t>Bh = ( 0,63 - Bg ) / 2 = (</t>
  </si>
  <si>
    <t>)/</t>
  </si>
  <si>
    <t>dönüş kısım yay yarıçapı</t>
  </si>
  <si>
    <t>r=</t>
  </si>
  <si>
    <t>dönüş kısım yay uzunluğu</t>
  </si>
  <si>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r =</t>
    </r>
  </si>
  <si>
    <t>dönüş kesime yerleştirilecek basamak sayısı</t>
  </si>
  <si>
    <t>merdiven kol boyu</t>
  </si>
  <si>
    <t>basamak toplam sayısı</t>
  </si>
  <si>
    <t>rıht sayısı =</t>
  </si>
  <si>
    <t>merdiven yüksekliği</t>
  </si>
  <si>
    <t>seçilen basamak yüksekliği</t>
  </si>
  <si>
    <t>(Bg)</t>
  </si>
  <si>
    <t>(Bh)</t>
  </si>
  <si>
    <t>kat yüksekliği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</si>
</sst>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Symbol"/>
      <family val="1"/>
      <charset val="2"/>
    </font>
    <font>
      <sz val="8"/>
      <color theme="1"/>
      <name val="Arial"/>
      <family val="1"/>
      <charset val="2"/>
    </font>
    <font>
      <i/>
      <u/>
      <sz val="8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 textRotation="90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textRotation="90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 textRotation="90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" borderId="7" xfId="0" applyFill="1" applyBorder="1" applyAlignment="1" applyProtection="1">
      <alignment horizontal="center" vertical="center" textRotation="90"/>
      <protection locked="0"/>
    </xf>
    <xf numFmtId="0" fontId="0" fillId="3" borderId="0" xfId="0" applyFill="1" applyAlignment="1" applyProtection="1">
      <alignment horizontal="center" vertical="center" textRotation="90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31</xdr:row>
      <xdr:rowOff>33337</xdr:rowOff>
    </xdr:from>
    <xdr:to>
      <xdr:col>34</xdr:col>
      <xdr:colOff>85725</xdr:colOff>
      <xdr:row>44</xdr:row>
      <xdr:rowOff>119062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DE91156-D95C-4C64-B7DF-DEACCD6B8A21}"/>
            </a:ext>
          </a:extLst>
        </xdr:cNvPr>
        <xdr:cNvGrpSpPr/>
      </xdr:nvGrpSpPr>
      <xdr:grpSpPr>
        <a:xfrm>
          <a:off x="581025" y="4891087"/>
          <a:ext cx="5010150" cy="1943100"/>
          <a:chOff x="581025" y="4891087"/>
          <a:chExt cx="5010150" cy="1943100"/>
        </a:xfrm>
      </xdr:grpSpPr>
      <xdr:sp macro="" textlink="">
        <xdr:nvSpPr>
          <xdr:cNvPr id="3" name="Freeform: Shape 2">
            <a:extLst>
              <a:ext uri="{FF2B5EF4-FFF2-40B4-BE49-F238E27FC236}">
                <a16:creationId xmlns:a16="http://schemas.microsoft.com/office/drawing/2014/main" id="{C11D5D4D-1ADF-447A-ACD4-2A187901E3FD}"/>
              </a:ext>
            </a:extLst>
          </xdr:cNvPr>
          <xdr:cNvSpPr/>
        </xdr:nvSpPr>
        <xdr:spPr>
          <a:xfrm>
            <a:off x="581025" y="5005388"/>
            <a:ext cx="4543425" cy="1709737"/>
          </a:xfrm>
          <a:custGeom>
            <a:avLst/>
            <a:gdLst>
              <a:gd name="connsiteX0" fmla="*/ 142875 w 4695825"/>
              <a:gd name="connsiteY0" fmla="*/ 685800 h 1704975"/>
              <a:gd name="connsiteX1" fmla="*/ 57150 w 4695825"/>
              <a:gd name="connsiteY1" fmla="*/ 609600 h 1704975"/>
              <a:gd name="connsiteX2" fmla="*/ 57150 w 4695825"/>
              <a:gd name="connsiteY2" fmla="*/ 0 h 1704975"/>
              <a:gd name="connsiteX3" fmla="*/ 4591050 w 4695825"/>
              <a:gd name="connsiteY3" fmla="*/ 0 h 1704975"/>
              <a:gd name="connsiteX4" fmla="*/ 4591050 w 4695825"/>
              <a:gd name="connsiteY4" fmla="*/ 609600 h 1704975"/>
              <a:gd name="connsiteX5" fmla="*/ 4514850 w 4695825"/>
              <a:gd name="connsiteY5" fmla="*/ 685800 h 1704975"/>
              <a:gd name="connsiteX6" fmla="*/ 4695825 w 4695825"/>
              <a:gd name="connsiteY6" fmla="*/ 752475 h 1704975"/>
              <a:gd name="connsiteX7" fmla="*/ 4591050 w 4695825"/>
              <a:gd name="connsiteY7" fmla="*/ 809625 h 1704975"/>
              <a:gd name="connsiteX8" fmla="*/ 4591050 w 4695825"/>
              <a:gd name="connsiteY8" fmla="*/ 1704975 h 1704975"/>
              <a:gd name="connsiteX9" fmla="*/ 66675 w 4695825"/>
              <a:gd name="connsiteY9" fmla="*/ 1704975 h 1704975"/>
              <a:gd name="connsiteX10" fmla="*/ 66675 w 4695825"/>
              <a:gd name="connsiteY10" fmla="*/ 781050 h 1704975"/>
              <a:gd name="connsiteX11" fmla="*/ 0 w 4695825"/>
              <a:gd name="connsiteY11" fmla="*/ 771525 h 1704975"/>
              <a:gd name="connsiteX12" fmla="*/ 142875 w 4695825"/>
              <a:gd name="connsiteY12" fmla="*/ 685800 h 1704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4695825" h="1704975">
                <a:moveTo>
                  <a:pt x="142875" y="685800"/>
                </a:moveTo>
                <a:lnTo>
                  <a:pt x="57150" y="609600"/>
                </a:lnTo>
                <a:lnTo>
                  <a:pt x="57150" y="0"/>
                </a:lnTo>
                <a:lnTo>
                  <a:pt x="4591050" y="0"/>
                </a:lnTo>
                <a:lnTo>
                  <a:pt x="4591050" y="609600"/>
                </a:lnTo>
                <a:lnTo>
                  <a:pt x="4514850" y="685800"/>
                </a:lnTo>
                <a:lnTo>
                  <a:pt x="4695825" y="752475"/>
                </a:lnTo>
                <a:lnTo>
                  <a:pt x="4591050" y="809625"/>
                </a:lnTo>
                <a:lnTo>
                  <a:pt x="4591050" y="1704975"/>
                </a:lnTo>
                <a:lnTo>
                  <a:pt x="66675" y="1704975"/>
                </a:lnTo>
                <a:lnTo>
                  <a:pt x="66675" y="781050"/>
                </a:lnTo>
                <a:lnTo>
                  <a:pt x="0" y="771525"/>
                </a:lnTo>
                <a:lnTo>
                  <a:pt x="142875" y="6858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72744D4E-AE2E-4DF8-928A-115F41C37855}"/>
              </a:ext>
            </a:extLst>
          </xdr:cNvPr>
          <xdr:cNvCxnSpPr/>
        </xdr:nvCxnSpPr>
        <xdr:spPr>
          <a:xfrm>
            <a:off x="971550" y="5010150"/>
            <a:ext cx="0" cy="169545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7C349617-0033-452F-9911-C0408EB7452D}"/>
              </a:ext>
            </a:extLst>
          </xdr:cNvPr>
          <xdr:cNvCxnSpPr/>
        </xdr:nvCxnSpPr>
        <xdr:spPr>
          <a:xfrm>
            <a:off x="129540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3196E71-3DAE-44CF-A09C-3F2FA08868B2}"/>
              </a:ext>
            </a:extLst>
          </xdr:cNvPr>
          <xdr:cNvCxnSpPr/>
        </xdr:nvCxnSpPr>
        <xdr:spPr>
          <a:xfrm>
            <a:off x="161925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88B24D21-0F67-441F-8BF4-B85D72819DA8}"/>
              </a:ext>
            </a:extLst>
          </xdr:cNvPr>
          <xdr:cNvCxnSpPr/>
        </xdr:nvCxnSpPr>
        <xdr:spPr>
          <a:xfrm>
            <a:off x="1933575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E1DDDABE-97F2-434E-97C7-AA0112D8C74B}"/>
              </a:ext>
            </a:extLst>
          </xdr:cNvPr>
          <xdr:cNvCxnSpPr/>
        </xdr:nvCxnSpPr>
        <xdr:spPr>
          <a:xfrm>
            <a:off x="2257425" y="5019675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617D22D3-8EA2-4D64-9D02-5F7FD79DFD2A}"/>
              </a:ext>
            </a:extLst>
          </xdr:cNvPr>
          <xdr:cNvCxnSpPr/>
        </xdr:nvCxnSpPr>
        <xdr:spPr>
          <a:xfrm>
            <a:off x="259080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5F3722FF-1CC5-48A9-812E-7D3D654A941F}"/>
              </a:ext>
            </a:extLst>
          </xdr:cNvPr>
          <xdr:cNvCxnSpPr/>
        </xdr:nvCxnSpPr>
        <xdr:spPr>
          <a:xfrm>
            <a:off x="291465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E5AF54D-8970-4F6C-9269-B51F6295275A}"/>
              </a:ext>
            </a:extLst>
          </xdr:cNvPr>
          <xdr:cNvCxnSpPr/>
        </xdr:nvCxnSpPr>
        <xdr:spPr>
          <a:xfrm>
            <a:off x="3228975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A91766EC-C76E-40C2-BA4B-4B80CB9D1153}"/>
              </a:ext>
            </a:extLst>
          </xdr:cNvPr>
          <xdr:cNvCxnSpPr/>
        </xdr:nvCxnSpPr>
        <xdr:spPr>
          <a:xfrm>
            <a:off x="3552825" y="5019675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F8D6CC67-B123-4C14-AB26-B47CED4F4892}"/>
              </a:ext>
            </a:extLst>
          </xdr:cNvPr>
          <xdr:cNvCxnSpPr/>
        </xdr:nvCxnSpPr>
        <xdr:spPr>
          <a:xfrm>
            <a:off x="388620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E0685E07-6DF4-4407-ABEF-DA8BD72B7935}"/>
              </a:ext>
            </a:extLst>
          </xdr:cNvPr>
          <xdr:cNvCxnSpPr/>
        </xdr:nvCxnSpPr>
        <xdr:spPr>
          <a:xfrm>
            <a:off x="4210050" y="5010150"/>
            <a:ext cx="0" cy="1695450"/>
          </a:xfrm>
          <a:prstGeom prst="line">
            <a:avLst/>
          </a:prstGeom>
          <a:ln>
            <a:prstDash val="soli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3C4954C8-53FC-4E86-B297-658EB912EBB7}"/>
              </a:ext>
            </a:extLst>
          </xdr:cNvPr>
          <xdr:cNvCxnSpPr/>
        </xdr:nvCxnSpPr>
        <xdr:spPr>
          <a:xfrm>
            <a:off x="4543425" y="5010150"/>
            <a:ext cx="0" cy="1695450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7E1D2A1A-BFE9-4A15-A536-72FE11235349}"/>
              </a:ext>
            </a:extLst>
          </xdr:cNvPr>
          <xdr:cNvCxnSpPr/>
        </xdr:nvCxnSpPr>
        <xdr:spPr>
          <a:xfrm>
            <a:off x="5105400" y="5000625"/>
            <a:ext cx="485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46123EE2-CF61-43B3-BE0A-364DA6723A48}"/>
              </a:ext>
            </a:extLst>
          </xdr:cNvPr>
          <xdr:cNvCxnSpPr/>
        </xdr:nvCxnSpPr>
        <xdr:spPr>
          <a:xfrm>
            <a:off x="5505450" y="4933950"/>
            <a:ext cx="0" cy="18573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CE2BF50B-D4AA-49A8-BA87-C69A014D7F4A}"/>
              </a:ext>
            </a:extLst>
          </xdr:cNvPr>
          <xdr:cNvCxnSpPr/>
        </xdr:nvCxnSpPr>
        <xdr:spPr>
          <a:xfrm flipH="1">
            <a:off x="5462588" y="4952998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C94C7956-E5B0-42A6-ADF5-641DB7A87DF3}"/>
              </a:ext>
            </a:extLst>
          </xdr:cNvPr>
          <xdr:cNvCxnSpPr/>
        </xdr:nvCxnSpPr>
        <xdr:spPr>
          <a:xfrm>
            <a:off x="5100638" y="6715124"/>
            <a:ext cx="485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26C51EA6-17DD-4669-A1F2-5230D7AD539A}"/>
              </a:ext>
            </a:extLst>
          </xdr:cNvPr>
          <xdr:cNvCxnSpPr/>
        </xdr:nvCxnSpPr>
        <xdr:spPr>
          <a:xfrm flipH="1">
            <a:off x="5457826" y="6667497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90B43592-09CA-4A93-A0A2-D8B0DE96ACD2}"/>
              </a:ext>
            </a:extLst>
          </xdr:cNvPr>
          <xdr:cNvCxnSpPr/>
        </xdr:nvCxnSpPr>
        <xdr:spPr>
          <a:xfrm>
            <a:off x="3043238" y="4891087"/>
            <a:ext cx="0" cy="194310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8F19D010-2146-46D7-A023-0A80F2EB00DA}"/>
              </a:ext>
            </a:extLst>
          </xdr:cNvPr>
          <xdr:cNvCxnSpPr/>
        </xdr:nvCxnSpPr>
        <xdr:spPr>
          <a:xfrm>
            <a:off x="3071813" y="4891087"/>
            <a:ext cx="0" cy="1943100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142875</xdr:colOff>
      <xdr:row>29</xdr:row>
      <xdr:rowOff>80963</xdr:rowOff>
    </xdr:from>
    <xdr:to>
      <xdr:col>33</xdr:col>
      <xdr:colOff>0</xdr:colOff>
      <xdr:row>32</xdr:row>
      <xdr:rowOff>9526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469CDB6-7CEF-42D2-9339-2DD10F5869D6}"/>
            </a:ext>
          </a:extLst>
        </xdr:cNvPr>
        <xdr:cNvCxnSpPr/>
      </xdr:nvCxnSpPr>
      <xdr:spPr>
        <a:xfrm flipV="1">
          <a:off x="3705225" y="4652963"/>
          <a:ext cx="1638300" cy="357188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29</xdr:row>
      <xdr:rowOff>76200</xdr:rowOff>
    </xdr:from>
    <xdr:to>
      <xdr:col>32</xdr:col>
      <xdr:colOff>152400</xdr:colOff>
      <xdr:row>44</xdr:row>
      <xdr:rowOff>9526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B6EF071-B81F-4832-9E3B-3116A0AE4A3F}"/>
            </a:ext>
          </a:extLst>
        </xdr:cNvPr>
        <xdr:cNvCxnSpPr/>
      </xdr:nvCxnSpPr>
      <xdr:spPr>
        <a:xfrm flipV="1">
          <a:off x="3390900" y="4648200"/>
          <a:ext cx="1943100" cy="2076451"/>
        </a:xfrm>
        <a:prstGeom prst="line">
          <a:avLst/>
        </a:prstGeom>
        <a:ln w="95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114301</xdr:colOff>
      <xdr:row>3</xdr:row>
      <xdr:rowOff>57150</xdr:rowOff>
    </xdr:from>
    <xdr:to>
      <xdr:col>32</xdr:col>
      <xdr:colOff>52388</xdr:colOff>
      <xdr:row>30</xdr:row>
      <xdr:rowOff>90488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9422E799-9FF7-40DC-8FD4-AF77EA203C3C}"/>
            </a:ext>
          </a:extLst>
        </xdr:cNvPr>
        <xdr:cNvGrpSpPr/>
      </xdr:nvGrpSpPr>
      <xdr:grpSpPr>
        <a:xfrm>
          <a:off x="600076" y="914400"/>
          <a:ext cx="4633912" cy="3890963"/>
          <a:chOff x="600076" y="914400"/>
          <a:chExt cx="4633912" cy="3890963"/>
        </a:xfrm>
      </xdr:grpSpPr>
      <xdr:sp macro="" textlink="">
        <xdr:nvSpPr>
          <xdr:cNvPr id="26" name="Freeform: Shape 25">
            <a:extLst>
              <a:ext uri="{FF2B5EF4-FFF2-40B4-BE49-F238E27FC236}">
                <a16:creationId xmlns:a16="http://schemas.microsoft.com/office/drawing/2014/main" id="{6C042215-F5D4-4BC3-94DC-34B6E833956A}"/>
              </a:ext>
            </a:extLst>
          </xdr:cNvPr>
          <xdr:cNvSpPr/>
        </xdr:nvSpPr>
        <xdr:spPr>
          <a:xfrm>
            <a:off x="600076" y="995362"/>
            <a:ext cx="4633912" cy="3433762"/>
          </a:xfrm>
          <a:custGeom>
            <a:avLst/>
            <a:gdLst>
              <a:gd name="connsiteX0" fmla="*/ 42862 w 4633912"/>
              <a:gd name="connsiteY0" fmla="*/ 3048000 h 3433762"/>
              <a:gd name="connsiteX1" fmla="*/ 85725 w 4633912"/>
              <a:gd name="connsiteY1" fmla="*/ 2990850 h 3433762"/>
              <a:gd name="connsiteX2" fmla="*/ 0 w 4633912"/>
              <a:gd name="connsiteY2" fmla="*/ 2971800 h 3433762"/>
              <a:gd name="connsiteX3" fmla="*/ 38100 w 4633912"/>
              <a:gd name="connsiteY3" fmla="*/ 2933700 h 3433762"/>
              <a:gd name="connsiteX4" fmla="*/ 38100 w 4633912"/>
              <a:gd name="connsiteY4" fmla="*/ 2852737 h 3433762"/>
              <a:gd name="connsiteX5" fmla="*/ 695325 w 4633912"/>
              <a:gd name="connsiteY5" fmla="*/ 2852737 h 3433762"/>
              <a:gd name="connsiteX6" fmla="*/ 695325 w 4633912"/>
              <a:gd name="connsiteY6" fmla="*/ 2581275 h 3433762"/>
              <a:gd name="connsiteX7" fmla="*/ 1009650 w 4633912"/>
              <a:gd name="connsiteY7" fmla="*/ 2581275 h 3433762"/>
              <a:gd name="connsiteX8" fmla="*/ 1009650 w 4633912"/>
              <a:gd name="connsiteY8" fmla="*/ 2295525 h 3433762"/>
              <a:gd name="connsiteX9" fmla="*/ 1333500 w 4633912"/>
              <a:gd name="connsiteY9" fmla="*/ 2295525 h 3433762"/>
              <a:gd name="connsiteX10" fmla="*/ 1333500 w 4633912"/>
              <a:gd name="connsiteY10" fmla="*/ 2009775 h 3433762"/>
              <a:gd name="connsiteX11" fmla="*/ 1657350 w 4633912"/>
              <a:gd name="connsiteY11" fmla="*/ 2009775 h 3433762"/>
              <a:gd name="connsiteX12" fmla="*/ 1657350 w 4633912"/>
              <a:gd name="connsiteY12" fmla="*/ 1719262 h 3433762"/>
              <a:gd name="connsiteX13" fmla="*/ 1985962 w 4633912"/>
              <a:gd name="connsiteY13" fmla="*/ 1719262 h 3433762"/>
              <a:gd name="connsiteX14" fmla="*/ 1985962 w 4633912"/>
              <a:gd name="connsiteY14" fmla="*/ 1428750 h 3433762"/>
              <a:gd name="connsiteX15" fmla="*/ 2309812 w 4633912"/>
              <a:gd name="connsiteY15" fmla="*/ 1428750 h 3433762"/>
              <a:gd name="connsiteX16" fmla="*/ 2309812 w 4633912"/>
              <a:gd name="connsiteY16" fmla="*/ 1147762 h 3433762"/>
              <a:gd name="connsiteX17" fmla="*/ 2638425 w 4633912"/>
              <a:gd name="connsiteY17" fmla="*/ 1147762 h 3433762"/>
              <a:gd name="connsiteX18" fmla="*/ 2638425 w 4633912"/>
              <a:gd name="connsiteY18" fmla="*/ 862012 h 3433762"/>
              <a:gd name="connsiteX19" fmla="*/ 2962275 w 4633912"/>
              <a:gd name="connsiteY19" fmla="*/ 862012 h 3433762"/>
              <a:gd name="connsiteX20" fmla="*/ 2962275 w 4633912"/>
              <a:gd name="connsiteY20" fmla="*/ 581025 h 3433762"/>
              <a:gd name="connsiteX21" fmla="*/ 3286125 w 4633912"/>
              <a:gd name="connsiteY21" fmla="*/ 581025 h 3433762"/>
              <a:gd name="connsiteX22" fmla="*/ 3286125 w 4633912"/>
              <a:gd name="connsiteY22" fmla="*/ 290512 h 3433762"/>
              <a:gd name="connsiteX23" fmla="*/ 3605212 w 4633912"/>
              <a:gd name="connsiteY23" fmla="*/ 290512 h 3433762"/>
              <a:gd name="connsiteX24" fmla="*/ 3605212 w 4633912"/>
              <a:gd name="connsiteY24" fmla="*/ 0 h 3433762"/>
              <a:gd name="connsiteX25" fmla="*/ 4576762 w 4633912"/>
              <a:gd name="connsiteY25" fmla="*/ 0 h 3433762"/>
              <a:gd name="connsiteX26" fmla="*/ 4576762 w 4633912"/>
              <a:gd name="connsiteY26" fmla="*/ 57150 h 3433762"/>
              <a:gd name="connsiteX27" fmla="*/ 4529137 w 4633912"/>
              <a:gd name="connsiteY27" fmla="*/ 85725 h 3433762"/>
              <a:gd name="connsiteX28" fmla="*/ 4633912 w 4633912"/>
              <a:gd name="connsiteY28" fmla="*/ 109537 h 3433762"/>
              <a:gd name="connsiteX29" fmla="*/ 4576762 w 4633912"/>
              <a:gd name="connsiteY29" fmla="*/ 142875 h 3433762"/>
              <a:gd name="connsiteX30" fmla="*/ 4576762 w 4633912"/>
              <a:gd name="connsiteY30" fmla="*/ 290512 h 3433762"/>
              <a:gd name="connsiteX31" fmla="*/ 4248150 w 4633912"/>
              <a:gd name="connsiteY31" fmla="*/ 290512 h 3433762"/>
              <a:gd name="connsiteX32" fmla="*/ 4248150 w 4633912"/>
              <a:gd name="connsiteY32" fmla="*/ 714375 h 3433762"/>
              <a:gd name="connsiteX33" fmla="*/ 3933825 w 4633912"/>
              <a:gd name="connsiteY33" fmla="*/ 714375 h 3433762"/>
              <a:gd name="connsiteX34" fmla="*/ 3933825 w 4633912"/>
              <a:gd name="connsiteY34" fmla="*/ 290512 h 3433762"/>
              <a:gd name="connsiteX35" fmla="*/ 690562 w 4633912"/>
              <a:gd name="connsiteY35" fmla="*/ 3143250 h 3433762"/>
              <a:gd name="connsiteX36" fmla="*/ 690562 w 4633912"/>
              <a:gd name="connsiteY36" fmla="*/ 3433762 h 3433762"/>
              <a:gd name="connsiteX37" fmla="*/ 361950 w 4633912"/>
              <a:gd name="connsiteY37" fmla="*/ 3433762 h 3433762"/>
              <a:gd name="connsiteX38" fmla="*/ 361950 w 4633912"/>
              <a:gd name="connsiteY38" fmla="*/ 3138487 h 3433762"/>
              <a:gd name="connsiteX39" fmla="*/ 42862 w 4633912"/>
              <a:gd name="connsiteY39" fmla="*/ 3138487 h 3433762"/>
              <a:gd name="connsiteX40" fmla="*/ 42862 w 4633912"/>
              <a:gd name="connsiteY40" fmla="*/ 3048000 h 34337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4633912" h="3433762">
                <a:moveTo>
                  <a:pt x="42862" y="3048000"/>
                </a:moveTo>
                <a:lnTo>
                  <a:pt x="85725" y="2990850"/>
                </a:lnTo>
                <a:lnTo>
                  <a:pt x="0" y="2971800"/>
                </a:lnTo>
                <a:lnTo>
                  <a:pt x="38100" y="2933700"/>
                </a:lnTo>
                <a:lnTo>
                  <a:pt x="38100" y="2852737"/>
                </a:lnTo>
                <a:lnTo>
                  <a:pt x="695325" y="2852737"/>
                </a:lnTo>
                <a:lnTo>
                  <a:pt x="695325" y="2581275"/>
                </a:lnTo>
                <a:lnTo>
                  <a:pt x="1009650" y="2581275"/>
                </a:lnTo>
                <a:lnTo>
                  <a:pt x="1009650" y="2295525"/>
                </a:lnTo>
                <a:lnTo>
                  <a:pt x="1333500" y="2295525"/>
                </a:lnTo>
                <a:lnTo>
                  <a:pt x="1333500" y="2009775"/>
                </a:lnTo>
                <a:lnTo>
                  <a:pt x="1657350" y="2009775"/>
                </a:lnTo>
                <a:lnTo>
                  <a:pt x="1657350" y="1719262"/>
                </a:lnTo>
                <a:lnTo>
                  <a:pt x="1985962" y="1719262"/>
                </a:lnTo>
                <a:lnTo>
                  <a:pt x="1985962" y="1428750"/>
                </a:lnTo>
                <a:lnTo>
                  <a:pt x="2309812" y="1428750"/>
                </a:lnTo>
                <a:lnTo>
                  <a:pt x="2309812" y="1147762"/>
                </a:lnTo>
                <a:lnTo>
                  <a:pt x="2638425" y="1147762"/>
                </a:lnTo>
                <a:lnTo>
                  <a:pt x="2638425" y="862012"/>
                </a:lnTo>
                <a:lnTo>
                  <a:pt x="2962275" y="862012"/>
                </a:lnTo>
                <a:lnTo>
                  <a:pt x="2962275" y="581025"/>
                </a:lnTo>
                <a:lnTo>
                  <a:pt x="3286125" y="581025"/>
                </a:lnTo>
                <a:lnTo>
                  <a:pt x="3286125" y="290512"/>
                </a:lnTo>
                <a:lnTo>
                  <a:pt x="3605212" y="290512"/>
                </a:lnTo>
                <a:lnTo>
                  <a:pt x="3605212" y="0"/>
                </a:lnTo>
                <a:lnTo>
                  <a:pt x="4576762" y="0"/>
                </a:lnTo>
                <a:lnTo>
                  <a:pt x="4576762" y="57150"/>
                </a:lnTo>
                <a:lnTo>
                  <a:pt x="4529137" y="85725"/>
                </a:lnTo>
                <a:lnTo>
                  <a:pt x="4633912" y="109537"/>
                </a:lnTo>
                <a:lnTo>
                  <a:pt x="4576762" y="142875"/>
                </a:lnTo>
                <a:lnTo>
                  <a:pt x="4576762" y="290512"/>
                </a:lnTo>
                <a:lnTo>
                  <a:pt x="4248150" y="290512"/>
                </a:lnTo>
                <a:lnTo>
                  <a:pt x="4248150" y="714375"/>
                </a:lnTo>
                <a:lnTo>
                  <a:pt x="3933825" y="714375"/>
                </a:lnTo>
                <a:lnTo>
                  <a:pt x="3933825" y="290512"/>
                </a:lnTo>
                <a:lnTo>
                  <a:pt x="690562" y="3143250"/>
                </a:lnTo>
                <a:lnTo>
                  <a:pt x="690562" y="3433762"/>
                </a:lnTo>
                <a:lnTo>
                  <a:pt x="361950" y="3433762"/>
                </a:lnTo>
                <a:lnTo>
                  <a:pt x="361950" y="3138487"/>
                </a:lnTo>
                <a:lnTo>
                  <a:pt x="42862" y="3138487"/>
                </a:lnTo>
                <a:lnTo>
                  <a:pt x="42862" y="3048000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68FEB8EA-ADFD-4ED9-928B-7A8566B6581C}"/>
              </a:ext>
            </a:extLst>
          </xdr:cNvPr>
          <xdr:cNvCxnSpPr/>
        </xdr:nvCxnSpPr>
        <xdr:spPr>
          <a:xfrm flipV="1">
            <a:off x="1619250" y="2776538"/>
            <a:ext cx="0" cy="3476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3840028E-410A-461F-BA97-C13B2DB4EE0A}"/>
              </a:ext>
            </a:extLst>
          </xdr:cNvPr>
          <xdr:cNvCxnSpPr/>
        </xdr:nvCxnSpPr>
        <xdr:spPr>
          <a:xfrm>
            <a:off x="1543051" y="2857501"/>
            <a:ext cx="485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922E3893-253B-47A4-B49F-E385BAF64B09}"/>
              </a:ext>
            </a:extLst>
          </xdr:cNvPr>
          <xdr:cNvCxnSpPr/>
        </xdr:nvCxnSpPr>
        <xdr:spPr>
          <a:xfrm flipH="1">
            <a:off x="1571625" y="2809874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5426834F-9EB9-4311-BD43-9B6F5690DCDF}"/>
              </a:ext>
            </a:extLst>
          </xdr:cNvPr>
          <xdr:cNvCxnSpPr/>
        </xdr:nvCxnSpPr>
        <xdr:spPr>
          <a:xfrm flipV="1">
            <a:off x="1943100" y="2776539"/>
            <a:ext cx="0" cy="1714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EE92F761-1D74-4287-A416-5B447227C1B8}"/>
              </a:ext>
            </a:extLst>
          </xdr:cNvPr>
          <xdr:cNvCxnSpPr/>
        </xdr:nvCxnSpPr>
        <xdr:spPr>
          <a:xfrm flipH="1">
            <a:off x="1895475" y="2809874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C3803EBD-B174-479F-B10D-BB4F9D2C64A1}"/>
              </a:ext>
            </a:extLst>
          </xdr:cNvPr>
          <xdr:cNvCxnSpPr/>
        </xdr:nvCxnSpPr>
        <xdr:spPr>
          <a:xfrm>
            <a:off x="1390650" y="3000375"/>
            <a:ext cx="5191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17A27BE7-4A02-4AD0-B99D-6601E83F0CED}"/>
              </a:ext>
            </a:extLst>
          </xdr:cNvPr>
          <xdr:cNvCxnSpPr/>
        </xdr:nvCxnSpPr>
        <xdr:spPr>
          <a:xfrm>
            <a:off x="1457326" y="2919412"/>
            <a:ext cx="0" cy="44767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F86F69B-30F6-47C9-BA8B-62B29E072E82}"/>
              </a:ext>
            </a:extLst>
          </xdr:cNvPr>
          <xdr:cNvCxnSpPr/>
        </xdr:nvCxnSpPr>
        <xdr:spPr>
          <a:xfrm flipH="1">
            <a:off x="1414463" y="2947987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95478FAA-6F07-45D2-B06B-5724D3AF0CBB}"/>
              </a:ext>
            </a:extLst>
          </xdr:cNvPr>
          <xdr:cNvCxnSpPr/>
        </xdr:nvCxnSpPr>
        <xdr:spPr>
          <a:xfrm>
            <a:off x="1390650" y="3286125"/>
            <a:ext cx="200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67096067-8F50-445F-A46E-6A268560B76C}"/>
              </a:ext>
            </a:extLst>
          </xdr:cNvPr>
          <xdr:cNvCxnSpPr/>
        </xdr:nvCxnSpPr>
        <xdr:spPr>
          <a:xfrm flipH="1">
            <a:off x="1414463" y="3233737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EAFE3037-C15B-4CE3-9B65-57A0756603E5}"/>
              </a:ext>
            </a:extLst>
          </xdr:cNvPr>
          <xdr:cNvCxnSpPr/>
        </xdr:nvCxnSpPr>
        <xdr:spPr>
          <a:xfrm>
            <a:off x="1295400" y="4486275"/>
            <a:ext cx="0" cy="3095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70822CD8-C280-455B-8A24-5003395882A4}"/>
              </a:ext>
            </a:extLst>
          </xdr:cNvPr>
          <xdr:cNvCxnSpPr/>
        </xdr:nvCxnSpPr>
        <xdr:spPr>
          <a:xfrm>
            <a:off x="1228725" y="4714875"/>
            <a:ext cx="339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2F02A081-79BD-42F4-BF72-88B0E4C07753}"/>
              </a:ext>
            </a:extLst>
          </xdr:cNvPr>
          <xdr:cNvCxnSpPr/>
        </xdr:nvCxnSpPr>
        <xdr:spPr>
          <a:xfrm>
            <a:off x="4533913" y="1800225"/>
            <a:ext cx="0" cy="30051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15536F13-C410-40BC-921B-CAF9EEA5561D}"/>
              </a:ext>
            </a:extLst>
          </xdr:cNvPr>
          <xdr:cNvCxnSpPr/>
        </xdr:nvCxnSpPr>
        <xdr:spPr>
          <a:xfrm flipH="1">
            <a:off x="1247775" y="4667250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54DEAC50-FFAE-4D69-B876-CFBE4D85E26B}"/>
              </a:ext>
            </a:extLst>
          </xdr:cNvPr>
          <xdr:cNvCxnSpPr/>
        </xdr:nvCxnSpPr>
        <xdr:spPr>
          <a:xfrm flipH="1">
            <a:off x="4486287" y="4667249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0E37AD4B-2DA1-47B8-8911-6B37E6CB0250}"/>
              </a:ext>
            </a:extLst>
          </xdr:cNvPr>
          <xdr:cNvCxnSpPr/>
        </xdr:nvCxnSpPr>
        <xdr:spPr>
          <a:xfrm>
            <a:off x="5019679" y="914400"/>
            <a:ext cx="0" cy="30289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8E228C86-6F18-4DE6-BBC6-999213C1FA5F}"/>
              </a:ext>
            </a:extLst>
          </xdr:cNvPr>
          <xdr:cNvCxnSpPr/>
        </xdr:nvCxnSpPr>
        <xdr:spPr>
          <a:xfrm flipH="1">
            <a:off x="4976817" y="938213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85C4B9F8-1E5C-4BCC-B40C-A3A8832F4F5D}"/>
              </a:ext>
            </a:extLst>
          </xdr:cNvPr>
          <xdr:cNvCxnSpPr/>
        </xdr:nvCxnSpPr>
        <xdr:spPr>
          <a:xfrm>
            <a:off x="1352550" y="3857625"/>
            <a:ext cx="37480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4CD49058-BA01-43F6-9731-FF306664EF23}"/>
              </a:ext>
            </a:extLst>
          </xdr:cNvPr>
          <xdr:cNvCxnSpPr/>
        </xdr:nvCxnSpPr>
        <xdr:spPr>
          <a:xfrm flipH="1">
            <a:off x="4972053" y="3810001"/>
            <a:ext cx="90488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2A080F59-8EF0-40E8-AE41-01B363DD8DCC}"/>
              </a:ext>
            </a:extLst>
          </xdr:cNvPr>
          <xdr:cNvCxnSpPr/>
        </xdr:nvCxnSpPr>
        <xdr:spPr>
          <a:xfrm>
            <a:off x="2590800" y="2286000"/>
            <a:ext cx="485775" cy="547688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4FD014A1-9574-454A-A641-BD61982D8625}"/>
              </a:ext>
            </a:extLst>
          </xdr:cNvPr>
          <xdr:cNvCxnSpPr/>
        </xdr:nvCxnSpPr>
        <xdr:spPr>
          <a:xfrm>
            <a:off x="2619375" y="2257424"/>
            <a:ext cx="485775" cy="547688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45E3E08D-DA21-45CD-B446-0DB3000698DA}"/>
              </a:ext>
            </a:extLst>
          </xdr:cNvPr>
          <xdr:cNvCxnSpPr>
            <a:cxnSpLocks/>
          </xdr:cNvCxnSpPr>
        </xdr:nvCxnSpPr>
        <xdr:spPr>
          <a:xfrm flipV="1">
            <a:off x="1295399" y="990600"/>
            <a:ext cx="3238500" cy="285750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3019A6AA-4001-4EA9-AD12-CD1022B7F805}"/>
              </a:ext>
            </a:extLst>
          </xdr:cNvPr>
          <xdr:cNvCxnSpPr/>
        </xdr:nvCxnSpPr>
        <xdr:spPr>
          <a:xfrm>
            <a:off x="2381250" y="2824163"/>
            <a:ext cx="209550" cy="2619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24B58FAD-1AF0-4275-8118-72617A0293F1}"/>
              </a:ext>
            </a:extLst>
          </xdr:cNvPr>
          <xdr:cNvCxnSpPr/>
        </xdr:nvCxnSpPr>
        <xdr:spPr>
          <a:xfrm flipH="1">
            <a:off x="2547938" y="2976563"/>
            <a:ext cx="9525" cy="1285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E680000D-23C1-4ED6-AE5D-989778F536CB}"/>
              </a:ext>
            </a:extLst>
          </xdr:cNvPr>
          <xdr:cNvCxnSpPr/>
        </xdr:nvCxnSpPr>
        <xdr:spPr>
          <a:xfrm flipH="1">
            <a:off x="2409825" y="2795588"/>
            <a:ext cx="9525" cy="1285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40BC94E8-8A02-4057-9199-E7F594B74F3B}"/>
              </a:ext>
            </a:extLst>
          </xdr:cNvPr>
          <xdr:cNvCxnSpPr/>
        </xdr:nvCxnSpPr>
        <xdr:spPr>
          <a:xfrm flipV="1">
            <a:off x="4538663" y="1019177"/>
            <a:ext cx="0" cy="24288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D13B6B4D-59C4-4DCA-9094-EB004E160945}"/>
              </a:ext>
            </a:extLst>
          </xdr:cNvPr>
          <xdr:cNvCxnSpPr/>
        </xdr:nvCxnSpPr>
        <xdr:spPr>
          <a:xfrm flipV="1">
            <a:off x="1295400" y="3867150"/>
            <a:ext cx="0" cy="242886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85725</xdr:colOff>
      <xdr:row>38</xdr:row>
      <xdr:rowOff>19050</xdr:rowOff>
    </xdr:from>
    <xdr:to>
      <xdr:col>28</xdr:col>
      <xdr:colOff>19050</xdr:colOff>
      <xdr:row>38</xdr:row>
      <xdr:rowOff>19050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10C330E9-DE85-48EB-A372-65D04D48A35F}"/>
            </a:ext>
          </a:extLst>
        </xdr:cNvPr>
        <xdr:cNvCxnSpPr/>
      </xdr:nvCxnSpPr>
      <xdr:spPr>
        <a:xfrm>
          <a:off x="1219200" y="5876925"/>
          <a:ext cx="3333750" cy="0"/>
        </a:xfrm>
        <a:prstGeom prst="line">
          <a:avLst/>
        </a:prstGeom>
        <a:ln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37</xdr:row>
      <xdr:rowOff>95250</xdr:rowOff>
    </xdr:from>
    <xdr:to>
      <xdr:col>8</xdr:col>
      <xdr:colOff>104775</xdr:colOff>
      <xdr:row>37</xdr:row>
      <xdr:rowOff>95250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4FDC10B4-276E-4DC5-B158-6F126DDAF017}"/>
            </a:ext>
          </a:extLst>
        </xdr:cNvPr>
        <xdr:cNvCxnSpPr/>
      </xdr:nvCxnSpPr>
      <xdr:spPr>
        <a:xfrm>
          <a:off x="1209675" y="5810250"/>
          <a:ext cx="190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38</xdr:row>
      <xdr:rowOff>85725</xdr:rowOff>
    </xdr:from>
    <xdr:to>
      <xdr:col>8</xdr:col>
      <xdr:colOff>104775</xdr:colOff>
      <xdr:row>38</xdr:row>
      <xdr:rowOff>85725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7D144D6C-25AF-4ECA-B8CA-1336F7B58E79}"/>
            </a:ext>
          </a:extLst>
        </xdr:cNvPr>
        <xdr:cNvCxnSpPr/>
      </xdr:nvCxnSpPr>
      <xdr:spPr>
        <a:xfrm>
          <a:off x="1209675" y="5943600"/>
          <a:ext cx="190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76</xdr:row>
      <xdr:rowOff>76200</xdr:rowOff>
    </xdr:from>
    <xdr:to>
      <xdr:col>22</xdr:col>
      <xdr:colOff>66675</xdr:colOff>
      <xdr:row>76</xdr:row>
      <xdr:rowOff>76200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BE24D185-F568-412A-98EB-15E73B4D39FA}"/>
            </a:ext>
          </a:extLst>
        </xdr:cNvPr>
        <xdr:cNvCxnSpPr/>
      </xdr:nvCxnSpPr>
      <xdr:spPr>
        <a:xfrm>
          <a:off x="3238500" y="11401425"/>
          <a:ext cx="390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77</xdr:row>
      <xdr:rowOff>76200</xdr:rowOff>
    </xdr:from>
    <xdr:to>
      <xdr:col>22</xdr:col>
      <xdr:colOff>57150</xdr:colOff>
      <xdr:row>77</xdr:row>
      <xdr:rowOff>76200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3C4FC1C8-BD3A-4431-B1B1-0CE27ACA5AD7}"/>
            </a:ext>
          </a:extLst>
        </xdr:cNvPr>
        <xdr:cNvCxnSpPr/>
      </xdr:nvCxnSpPr>
      <xdr:spPr>
        <a:xfrm>
          <a:off x="3228975" y="11544300"/>
          <a:ext cx="390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114300</xdr:colOff>
      <xdr:row>14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33605B4E-3675-45A2-AEEB-2EF6248621C9}"/>
            </a:ext>
          </a:extLst>
        </xdr:cNvPr>
        <xdr:cNvCxnSpPr/>
      </xdr:nvCxnSpPr>
      <xdr:spPr>
        <a:xfrm>
          <a:off x="3238500" y="2428875"/>
          <a:ext cx="600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12</xdr:row>
      <xdr:rowOff>66674</xdr:rowOff>
    </xdr:from>
    <xdr:to>
      <xdr:col>21</xdr:col>
      <xdr:colOff>133350</xdr:colOff>
      <xdr:row>14</xdr:row>
      <xdr:rowOff>66674</xdr:rowOff>
    </xdr:to>
    <xdr:sp macro="" textlink="">
      <xdr:nvSpPr>
        <xdr:cNvPr id="60" name="Arc 59">
          <a:extLst>
            <a:ext uri="{FF2B5EF4-FFF2-40B4-BE49-F238E27FC236}">
              <a16:creationId xmlns:a16="http://schemas.microsoft.com/office/drawing/2014/main" id="{81C2EDEA-588F-4BDB-A4F8-4B9074000634}"/>
            </a:ext>
          </a:extLst>
        </xdr:cNvPr>
        <xdr:cNvSpPr/>
      </xdr:nvSpPr>
      <xdr:spPr>
        <a:xfrm rot="2154583">
          <a:off x="3248025" y="2209799"/>
          <a:ext cx="285750" cy="28575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24</xdr:col>
      <xdr:colOff>0</xdr:colOff>
      <xdr:row>79</xdr:row>
      <xdr:rowOff>85725</xdr:rowOff>
    </xdr:from>
    <xdr:to>
      <xdr:col>25</xdr:col>
      <xdr:colOff>142875</xdr:colOff>
      <xdr:row>79</xdr:row>
      <xdr:rowOff>85725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4C44C47D-5917-48E9-9C68-7BEDBB84440D}"/>
            </a:ext>
          </a:extLst>
        </xdr:cNvPr>
        <xdr:cNvCxnSpPr/>
      </xdr:nvCxnSpPr>
      <xdr:spPr>
        <a:xfrm flipH="1">
          <a:off x="3886200" y="11839575"/>
          <a:ext cx="304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80</xdr:row>
      <xdr:rowOff>66675</xdr:rowOff>
    </xdr:from>
    <xdr:to>
      <xdr:col>25</xdr:col>
      <xdr:colOff>152400</xdr:colOff>
      <xdr:row>80</xdr:row>
      <xdr:rowOff>66675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B17E42EE-2E08-4FAA-B608-BD460665D9F9}"/>
            </a:ext>
          </a:extLst>
        </xdr:cNvPr>
        <xdr:cNvCxnSpPr/>
      </xdr:nvCxnSpPr>
      <xdr:spPr>
        <a:xfrm flipH="1">
          <a:off x="3895725" y="11963400"/>
          <a:ext cx="304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71438</xdr:colOff>
      <xdr:row>137</xdr:row>
      <xdr:rowOff>61912</xdr:rowOff>
    </xdr:from>
    <xdr:to>
      <xdr:col>29</xdr:col>
      <xdr:colOff>76200</xdr:colOff>
      <xdr:row>171</xdr:row>
      <xdr:rowOff>76200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7D55F460-2002-4170-88FD-ADFA55278F08}"/>
            </a:ext>
          </a:extLst>
        </xdr:cNvPr>
        <xdr:cNvGrpSpPr/>
      </xdr:nvGrpSpPr>
      <xdr:grpSpPr>
        <a:xfrm>
          <a:off x="719138" y="21178837"/>
          <a:ext cx="4052887" cy="4872038"/>
          <a:chOff x="719138" y="13196887"/>
          <a:chExt cx="4052887" cy="4872038"/>
        </a:xfrm>
      </xdr:grpSpPr>
      <xdr:sp macro="" textlink="">
        <xdr:nvSpPr>
          <xdr:cNvPr id="64" name="Arc 63">
            <a:extLst>
              <a:ext uri="{FF2B5EF4-FFF2-40B4-BE49-F238E27FC236}">
                <a16:creationId xmlns:a16="http://schemas.microsoft.com/office/drawing/2014/main" id="{B0947C2F-1B2E-4EB7-AA27-A53AA8A0A75B}"/>
              </a:ext>
            </a:extLst>
          </xdr:cNvPr>
          <xdr:cNvSpPr/>
        </xdr:nvSpPr>
        <xdr:spPr>
          <a:xfrm>
            <a:off x="2752727" y="14625639"/>
            <a:ext cx="161924" cy="161924"/>
          </a:xfrm>
          <a:prstGeom prst="arc">
            <a:avLst>
              <a:gd name="adj1" fmla="val 11015648"/>
              <a:gd name="adj2" fmla="val 0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0BA9F16C-C105-41B3-8A4E-CEFCBFE8370C}"/>
              </a:ext>
            </a:extLst>
          </xdr:cNvPr>
          <xdr:cNvCxnSpPr/>
        </xdr:nvCxnSpPr>
        <xdr:spPr>
          <a:xfrm flipV="1">
            <a:off x="2833687" y="13563600"/>
            <a:ext cx="0" cy="1057276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2F979B55-5145-483E-B259-69B521F40BAD}"/>
              </a:ext>
            </a:extLst>
          </xdr:cNvPr>
          <xdr:cNvCxnSpPr/>
        </xdr:nvCxnSpPr>
        <xdr:spPr>
          <a:xfrm flipV="1">
            <a:off x="2871789" y="13563600"/>
            <a:ext cx="604836" cy="107156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4D091029-5C48-4C05-AEE0-C8B12299487C}"/>
              </a:ext>
            </a:extLst>
          </xdr:cNvPr>
          <xdr:cNvCxnSpPr/>
        </xdr:nvCxnSpPr>
        <xdr:spPr>
          <a:xfrm flipV="1">
            <a:off x="2905126" y="13558838"/>
            <a:ext cx="1314449" cy="111918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262E4403-0AA1-4E5C-AC7A-4D7C6F1E76DB}"/>
              </a:ext>
            </a:extLst>
          </xdr:cNvPr>
          <xdr:cNvCxnSpPr/>
        </xdr:nvCxnSpPr>
        <xdr:spPr>
          <a:xfrm flipV="1">
            <a:off x="2909887" y="14258925"/>
            <a:ext cx="1300163" cy="4333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64309F50-B5F0-4735-8260-BF34465B0BEC}"/>
              </a:ext>
            </a:extLst>
          </xdr:cNvPr>
          <xdr:cNvCxnSpPr/>
        </xdr:nvCxnSpPr>
        <xdr:spPr>
          <a:xfrm>
            <a:off x="2162175" y="13568363"/>
            <a:ext cx="623888" cy="107156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9C3B8555-9C72-41E6-B711-D22FCBC824B7}"/>
              </a:ext>
            </a:extLst>
          </xdr:cNvPr>
          <xdr:cNvCxnSpPr/>
        </xdr:nvCxnSpPr>
        <xdr:spPr>
          <a:xfrm>
            <a:off x="1462088" y="13573125"/>
            <a:ext cx="1304925" cy="10953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1D8FE848-F040-4076-9AD6-251EF017935D}"/>
              </a:ext>
            </a:extLst>
          </xdr:cNvPr>
          <xdr:cNvCxnSpPr/>
        </xdr:nvCxnSpPr>
        <xdr:spPr>
          <a:xfrm>
            <a:off x="1462088" y="14258925"/>
            <a:ext cx="1290637" cy="42386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BDD466AB-5403-405E-9566-A4A06FAC6E21}"/>
              </a:ext>
            </a:extLst>
          </xdr:cNvPr>
          <xdr:cNvCxnSpPr/>
        </xdr:nvCxnSpPr>
        <xdr:spPr>
          <a:xfrm flipH="1">
            <a:off x="719138" y="13563600"/>
            <a:ext cx="68580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B16D422E-24D6-4C9C-9E16-50382107E6B8}"/>
              </a:ext>
            </a:extLst>
          </xdr:cNvPr>
          <xdr:cNvCxnSpPr/>
        </xdr:nvCxnSpPr>
        <xdr:spPr>
          <a:xfrm>
            <a:off x="1133476" y="13492163"/>
            <a:ext cx="0" cy="3871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1E8C5863-F676-4721-BFD5-56043BCB9D3C}"/>
              </a:ext>
            </a:extLst>
          </xdr:cNvPr>
          <xdr:cNvCxnSpPr/>
        </xdr:nvCxnSpPr>
        <xdr:spPr>
          <a:xfrm flipH="1">
            <a:off x="1085850" y="13515974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F2F1E252-263A-4F92-B156-BB50DBE7FE3B}"/>
              </a:ext>
            </a:extLst>
          </xdr:cNvPr>
          <xdr:cNvCxnSpPr/>
        </xdr:nvCxnSpPr>
        <xdr:spPr>
          <a:xfrm flipH="1">
            <a:off x="1033463" y="14706600"/>
            <a:ext cx="366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6AF8A231-F290-4117-A3B9-4AE8C6D60978}"/>
              </a:ext>
            </a:extLst>
          </xdr:cNvPr>
          <xdr:cNvCxnSpPr/>
        </xdr:nvCxnSpPr>
        <xdr:spPr>
          <a:xfrm flipH="1">
            <a:off x="1081088" y="14658974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0C227399-34E1-43CF-8A70-9DB92AFFE313}"/>
              </a:ext>
            </a:extLst>
          </xdr:cNvPr>
          <xdr:cNvCxnSpPr/>
        </xdr:nvCxnSpPr>
        <xdr:spPr>
          <a:xfrm flipH="1">
            <a:off x="728663" y="17278350"/>
            <a:ext cx="6762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8C4EBED0-4ECF-4987-BFD5-A4579A8D70E1}"/>
              </a:ext>
            </a:extLst>
          </xdr:cNvPr>
          <xdr:cNvCxnSpPr/>
        </xdr:nvCxnSpPr>
        <xdr:spPr>
          <a:xfrm flipH="1">
            <a:off x="1085850" y="17230724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8E6F2C9A-FBAF-4A1C-AF8E-CC2BCB08DAC3}"/>
              </a:ext>
            </a:extLst>
          </xdr:cNvPr>
          <xdr:cNvCxnSpPr/>
        </xdr:nvCxnSpPr>
        <xdr:spPr>
          <a:xfrm>
            <a:off x="1457325" y="17359313"/>
            <a:ext cx="0" cy="7096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9D103064-CE15-40EC-B3A4-21C58300E97D}"/>
              </a:ext>
            </a:extLst>
          </xdr:cNvPr>
          <xdr:cNvCxnSpPr/>
        </xdr:nvCxnSpPr>
        <xdr:spPr>
          <a:xfrm>
            <a:off x="1376362" y="17706976"/>
            <a:ext cx="29003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47A0DE77-AC6E-47B9-92EB-48ED600C1690}"/>
              </a:ext>
            </a:extLst>
          </xdr:cNvPr>
          <xdr:cNvCxnSpPr/>
        </xdr:nvCxnSpPr>
        <xdr:spPr>
          <a:xfrm flipH="1">
            <a:off x="1409700" y="17664113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C813765C-F217-4B2C-9B3B-3F7DB29EB648}"/>
              </a:ext>
            </a:extLst>
          </xdr:cNvPr>
          <xdr:cNvCxnSpPr/>
        </xdr:nvCxnSpPr>
        <xdr:spPr>
          <a:xfrm>
            <a:off x="2752725" y="17359313"/>
            <a:ext cx="0" cy="4333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9012088F-1531-4BE1-B769-447CE54B554C}"/>
              </a:ext>
            </a:extLst>
          </xdr:cNvPr>
          <xdr:cNvCxnSpPr/>
        </xdr:nvCxnSpPr>
        <xdr:spPr>
          <a:xfrm flipH="1">
            <a:off x="2705100" y="17664113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988B06BD-4D82-4A84-A4C6-DA67016B8127}"/>
              </a:ext>
            </a:extLst>
          </xdr:cNvPr>
          <xdr:cNvCxnSpPr/>
        </xdr:nvCxnSpPr>
        <xdr:spPr>
          <a:xfrm>
            <a:off x="2914650" y="17359313"/>
            <a:ext cx="0" cy="4333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7C326341-FC03-4930-9087-DC2C32F23B5C}"/>
              </a:ext>
            </a:extLst>
          </xdr:cNvPr>
          <xdr:cNvCxnSpPr/>
        </xdr:nvCxnSpPr>
        <xdr:spPr>
          <a:xfrm flipH="1">
            <a:off x="2867025" y="17664113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CAA47B07-FAB0-4232-ABC3-E76E3501211A}"/>
              </a:ext>
            </a:extLst>
          </xdr:cNvPr>
          <xdr:cNvCxnSpPr/>
        </xdr:nvCxnSpPr>
        <xdr:spPr>
          <a:xfrm>
            <a:off x="4210050" y="17359313"/>
            <a:ext cx="0" cy="704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6E6CE59D-DB6A-4E33-BF9F-B9C76AC5AF82}"/>
              </a:ext>
            </a:extLst>
          </xdr:cNvPr>
          <xdr:cNvCxnSpPr/>
        </xdr:nvCxnSpPr>
        <xdr:spPr>
          <a:xfrm flipH="1">
            <a:off x="4162425" y="17664113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BB5D0C67-D277-4142-9734-B3FB1EA2A61D}"/>
              </a:ext>
            </a:extLst>
          </xdr:cNvPr>
          <xdr:cNvCxnSpPr/>
        </xdr:nvCxnSpPr>
        <xdr:spPr>
          <a:xfrm>
            <a:off x="1376362" y="17992727"/>
            <a:ext cx="29003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C83ADE1F-9755-4A20-9C00-FA50FB144297}"/>
              </a:ext>
            </a:extLst>
          </xdr:cNvPr>
          <xdr:cNvCxnSpPr/>
        </xdr:nvCxnSpPr>
        <xdr:spPr>
          <a:xfrm flipH="1">
            <a:off x="1409700" y="17949864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0865FF16-6860-4516-A9B4-EC025976CEED}"/>
              </a:ext>
            </a:extLst>
          </xdr:cNvPr>
          <xdr:cNvCxnSpPr/>
        </xdr:nvCxnSpPr>
        <xdr:spPr>
          <a:xfrm flipH="1">
            <a:off x="4162425" y="17949864"/>
            <a:ext cx="95250" cy="904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1B8A7EFE-D266-46B6-B7F5-04A186DB5298}"/>
              </a:ext>
            </a:extLst>
          </xdr:cNvPr>
          <xdr:cNvCxnSpPr/>
        </xdr:nvCxnSpPr>
        <xdr:spPr>
          <a:xfrm>
            <a:off x="809626" y="13496926"/>
            <a:ext cx="0" cy="38719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7E491A8F-FF0A-42B4-A2F4-39DC2DC077D8}"/>
              </a:ext>
            </a:extLst>
          </xdr:cNvPr>
          <xdr:cNvCxnSpPr/>
        </xdr:nvCxnSpPr>
        <xdr:spPr>
          <a:xfrm flipH="1">
            <a:off x="762000" y="13520737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9BC52E65-4245-4A8E-B6D0-E1C3B066D0AD}"/>
              </a:ext>
            </a:extLst>
          </xdr:cNvPr>
          <xdr:cNvCxnSpPr/>
        </xdr:nvCxnSpPr>
        <xdr:spPr>
          <a:xfrm flipH="1">
            <a:off x="762001" y="17230724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40BBECC5-6FCE-4287-BC86-24EEABFFABE3}"/>
              </a:ext>
            </a:extLst>
          </xdr:cNvPr>
          <xdr:cNvCxnSpPr/>
        </xdr:nvCxnSpPr>
        <xdr:spPr>
          <a:xfrm>
            <a:off x="4276725" y="15849600"/>
            <a:ext cx="495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FB0FBB78-F585-424B-92D1-65A36F0D852B}"/>
              </a:ext>
            </a:extLst>
          </xdr:cNvPr>
          <xdr:cNvCxnSpPr/>
        </xdr:nvCxnSpPr>
        <xdr:spPr>
          <a:xfrm>
            <a:off x="4695832" y="15516224"/>
            <a:ext cx="0" cy="4000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B50DBE1A-8033-481C-A8F1-BB518921D760}"/>
              </a:ext>
            </a:extLst>
          </xdr:cNvPr>
          <xdr:cNvCxnSpPr/>
        </xdr:nvCxnSpPr>
        <xdr:spPr>
          <a:xfrm>
            <a:off x="4291013" y="15563850"/>
            <a:ext cx="328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56103C94-1BB1-40D4-9E44-179AA57CAC8E}"/>
              </a:ext>
            </a:extLst>
          </xdr:cNvPr>
          <xdr:cNvCxnSpPr/>
        </xdr:nvCxnSpPr>
        <xdr:spPr>
          <a:xfrm flipH="1">
            <a:off x="4657726" y="15811500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07A5A529-7C2C-4575-8C24-BC17DEE988B3}"/>
              </a:ext>
            </a:extLst>
          </xdr:cNvPr>
          <xdr:cNvCxnSpPr/>
        </xdr:nvCxnSpPr>
        <xdr:spPr>
          <a:xfrm>
            <a:off x="4276725" y="15563850"/>
            <a:ext cx="485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6F582590-CE39-49B2-BAD7-D60D8633162B}"/>
              </a:ext>
            </a:extLst>
          </xdr:cNvPr>
          <xdr:cNvCxnSpPr/>
        </xdr:nvCxnSpPr>
        <xdr:spPr>
          <a:xfrm flipH="1">
            <a:off x="4657726" y="15525750"/>
            <a:ext cx="80963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3279CE10-CCE0-43B7-B45C-C48998B1EB43}"/>
              </a:ext>
            </a:extLst>
          </xdr:cNvPr>
          <xdr:cNvCxnSpPr/>
        </xdr:nvCxnSpPr>
        <xdr:spPr>
          <a:xfrm flipV="1">
            <a:off x="1457325" y="13196887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4D5F5E6D-8458-4634-BB73-5AEEDBB0FC6B}"/>
              </a:ext>
            </a:extLst>
          </xdr:cNvPr>
          <xdr:cNvCxnSpPr/>
        </xdr:nvCxnSpPr>
        <xdr:spPr>
          <a:xfrm>
            <a:off x="1366837" y="13277851"/>
            <a:ext cx="2952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4AE5BD30-E61A-4475-98F0-3985A5307C87}"/>
              </a:ext>
            </a:extLst>
          </xdr:cNvPr>
          <xdr:cNvCxnSpPr/>
        </xdr:nvCxnSpPr>
        <xdr:spPr>
          <a:xfrm flipH="1">
            <a:off x="1404939" y="13225463"/>
            <a:ext cx="8572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20E806F2-8BA7-4CE0-8DF0-66BC0339B1A8}"/>
              </a:ext>
            </a:extLst>
          </xdr:cNvPr>
          <xdr:cNvCxnSpPr/>
        </xdr:nvCxnSpPr>
        <xdr:spPr>
          <a:xfrm flipV="1">
            <a:off x="4210050" y="13196887"/>
            <a:ext cx="0" cy="3048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6E810966-9D8F-4DFC-BD31-6F98D14E5C92}"/>
              </a:ext>
            </a:extLst>
          </xdr:cNvPr>
          <xdr:cNvCxnSpPr/>
        </xdr:nvCxnSpPr>
        <xdr:spPr>
          <a:xfrm flipH="1">
            <a:off x="4157664" y="13234988"/>
            <a:ext cx="8572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5FB0D68D-4821-4775-A48A-0D71463D1873}"/>
              </a:ext>
            </a:extLst>
          </xdr:cNvPr>
          <xdr:cNvCxnSpPr/>
        </xdr:nvCxnSpPr>
        <xdr:spPr>
          <a:xfrm>
            <a:off x="1352550" y="15349538"/>
            <a:ext cx="2986088" cy="1033462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AA75C30C-17BD-4A98-8BF6-C189BFACD212}"/>
              </a:ext>
            </a:extLst>
          </xdr:cNvPr>
          <xdr:cNvCxnSpPr/>
        </xdr:nvCxnSpPr>
        <xdr:spPr>
          <a:xfrm>
            <a:off x="1343025" y="15378113"/>
            <a:ext cx="2986088" cy="1033462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" name="Arc 106">
            <a:extLst>
              <a:ext uri="{FF2B5EF4-FFF2-40B4-BE49-F238E27FC236}">
                <a16:creationId xmlns:a16="http://schemas.microsoft.com/office/drawing/2014/main" id="{85F9AC78-57FF-48AC-B307-09E43487E239}"/>
              </a:ext>
            </a:extLst>
          </xdr:cNvPr>
          <xdr:cNvSpPr/>
        </xdr:nvSpPr>
        <xdr:spPr>
          <a:xfrm>
            <a:off x="2105022" y="13973176"/>
            <a:ext cx="1457324" cy="1457324"/>
          </a:xfrm>
          <a:prstGeom prst="arc">
            <a:avLst>
              <a:gd name="adj1" fmla="val 10786655"/>
              <a:gd name="adj2" fmla="val 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237203E8-5622-427C-A989-86DDB4F3B7A9}"/>
              </a:ext>
            </a:extLst>
          </xdr:cNvPr>
          <xdr:cNvCxnSpPr/>
        </xdr:nvCxnSpPr>
        <xdr:spPr>
          <a:xfrm>
            <a:off x="3562350" y="14701838"/>
            <a:ext cx="0" cy="25765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1034F0DF-0040-4A30-8101-E8D50ED8727F}"/>
              </a:ext>
            </a:extLst>
          </xdr:cNvPr>
          <xdr:cNvCxnSpPr/>
        </xdr:nvCxnSpPr>
        <xdr:spPr>
          <a:xfrm flipV="1">
            <a:off x="2105025" y="14701838"/>
            <a:ext cx="0" cy="2576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17B624E9-BA8C-4045-92BF-B66B56C2C343}"/>
              </a:ext>
            </a:extLst>
          </xdr:cNvPr>
          <xdr:cNvCxnSpPr/>
        </xdr:nvCxnSpPr>
        <xdr:spPr>
          <a:xfrm>
            <a:off x="2085976" y="17211676"/>
            <a:ext cx="0" cy="123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126AEDF4-F053-42CE-9314-97649028D75B}"/>
              </a:ext>
            </a:extLst>
          </xdr:cNvPr>
          <xdr:cNvCxnSpPr/>
        </xdr:nvCxnSpPr>
        <xdr:spPr>
          <a:xfrm>
            <a:off x="2124075" y="17211676"/>
            <a:ext cx="0" cy="1238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C2534AF9-B462-471B-BFA5-BF81E4C5F4A4}"/>
              </a:ext>
            </a:extLst>
          </xdr:cNvPr>
          <xdr:cNvCxnSpPr/>
        </xdr:nvCxnSpPr>
        <xdr:spPr>
          <a:xfrm flipH="1">
            <a:off x="1033464" y="14630400"/>
            <a:ext cx="17287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E51DCC65-12B9-420F-8FB1-F5199F813837}"/>
              </a:ext>
            </a:extLst>
          </xdr:cNvPr>
          <xdr:cNvCxnSpPr/>
        </xdr:nvCxnSpPr>
        <xdr:spPr>
          <a:xfrm flipH="1">
            <a:off x="1081088" y="14582774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31BF731F-FD10-4DCD-89DD-BA6C087381C1}"/>
              </a:ext>
            </a:extLst>
          </xdr:cNvPr>
          <xdr:cNvCxnSpPr/>
        </xdr:nvCxnSpPr>
        <xdr:spPr>
          <a:xfrm flipH="1" flipV="1">
            <a:off x="1762125" y="13439777"/>
            <a:ext cx="1090612" cy="132397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67AA5433-98EC-4649-A360-E63CBE2F96B9}"/>
              </a:ext>
            </a:extLst>
          </xdr:cNvPr>
          <xdr:cNvCxnSpPr/>
        </xdr:nvCxnSpPr>
        <xdr:spPr>
          <a:xfrm flipH="1" flipV="1">
            <a:off x="1781169" y="13420726"/>
            <a:ext cx="1090612" cy="132397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" name="Right Brace 115">
            <a:extLst>
              <a:ext uri="{FF2B5EF4-FFF2-40B4-BE49-F238E27FC236}">
                <a16:creationId xmlns:a16="http://schemas.microsoft.com/office/drawing/2014/main" id="{B47B91F2-C907-43DE-A366-751376B1C26E}"/>
              </a:ext>
            </a:extLst>
          </xdr:cNvPr>
          <xdr:cNvSpPr/>
        </xdr:nvSpPr>
        <xdr:spPr>
          <a:xfrm>
            <a:off x="4371976" y="13563600"/>
            <a:ext cx="361950" cy="1133475"/>
          </a:xfrm>
          <a:prstGeom prst="rightBrac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31</xdr:col>
      <xdr:colOff>0</xdr:colOff>
      <xdr:row>117</xdr:row>
      <xdr:rowOff>61913</xdr:rowOff>
    </xdr:from>
    <xdr:to>
      <xdr:col>40</xdr:col>
      <xdr:colOff>76199</xdr:colOff>
      <xdr:row>131</xdr:row>
      <xdr:rowOff>133342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9EBFD623-2C45-41F3-A155-F9B649BB81E4}"/>
            </a:ext>
          </a:extLst>
        </xdr:cNvPr>
        <xdr:cNvGrpSpPr/>
      </xdr:nvGrpSpPr>
      <xdr:grpSpPr>
        <a:xfrm>
          <a:off x="5019675" y="17797463"/>
          <a:ext cx="1533524" cy="2071679"/>
          <a:chOff x="5019675" y="17797463"/>
          <a:chExt cx="1533524" cy="2071679"/>
        </a:xfrm>
      </xdr:grpSpPr>
      <xdr:sp macro="" textlink="">
        <xdr:nvSpPr>
          <xdr:cNvPr id="118" name="Freeform: Shape 117">
            <a:extLst>
              <a:ext uri="{FF2B5EF4-FFF2-40B4-BE49-F238E27FC236}">
                <a16:creationId xmlns:a16="http://schemas.microsoft.com/office/drawing/2014/main" id="{950BD5A1-5304-4C4F-AA2E-0D56B725570F}"/>
              </a:ext>
            </a:extLst>
          </xdr:cNvPr>
          <xdr:cNvSpPr/>
        </xdr:nvSpPr>
        <xdr:spPr>
          <a:xfrm>
            <a:off x="5019675" y="18164167"/>
            <a:ext cx="1524000" cy="1576388"/>
          </a:xfrm>
          <a:custGeom>
            <a:avLst/>
            <a:gdLst>
              <a:gd name="connsiteX0" fmla="*/ 409575 w 1524000"/>
              <a:gd name="connsiteY0" fmla="*/ 347663 h 1576388"/>
              <a:gd name="connsiteX1" fmla="*/ 900113 w 1524000"/>
              <a:gd name="connsiteY1" fmla="*/ 347663 h 1576388"/>
              <a:gd name="connsiteX2" fmla="*/ 900113 w 1524000"/>
              <a:gd name="connsiteY2" fmla="*/ 728663 h 1576388"/>
              <a:gd name="connsiteX3" fmla="*/ 1381125 w 1524000"/>
              <a:gd name="connsiteY3" fmla="*/ 728663 h 1576388"/>
              <a:gd name="connsiteX4" fmla="*/ 1381125 w 1524000"/>
              <a:gd name="connsiteY4" fmla="*/ 1085850 h 1576388"/>
              <a:gd name="connsiteX5" fmla="*/ 1524000 w 1524000"/>
              <a:gd name="connsiteY5" fmla="*/ 1085850 h 1576388"/>
              <a:gd name="connsiteX6" fmla="*/ 1524000 w 1524000"/>
              <a:gd name="connsiteY6" fmla="*/ 1576388 h 1576388"/>
              <a:gd name="connsiteX7" fmla="*/ 0 w 1524000"/>
              <a:gd name="connsiteY7" fmla="*/ 423863 h 1576388"/>
              <a:gd name="connsiteX8" fmla="*/ 0 w 1524000"/>
              <a:gd name="connsiteY8" fmla="*/ 0 h 1576388"/>
              <a:gd name="connsiteX9" fmla="*/ 409575 w 1524000"/>
              <a:gd name="connsiteY9" fmla="*/ 0 h 1576388"/>
              <a:gd name="connsiteX10" fmla="*/ 409575 w 1524000"/>
              <a:gd name="connsiteY10" fmla="*/ 347663 h 1576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1524000" h="1576388">
                <a:moveTo>
                  <a:pt x="409575" y="347663"/>
                </a:moveTo>
                <a:lnTo>
                  <a:pt x="900113" y="347663"/>
                </a:lnTo>
                <a:lnTo>
                  <a:pt x="900113" y="728663"/>
                </a:lnTo>
                <a:lnTo>
                  <a:pt x="1381125" y="728663"/>
                </a:lnTo>
                <a:lnTo>
                  <a:pt x="1381125" y="1085850"/>
                </a:lnTo>
                <a:lnTo>
                  <a:pt x="1524000" y="1085850"/>
                </a:lnTo>
                <a:lnTo>
                  <a:pt x="1524000" y="1576388"/>
                </a:lnTo>
                <a:lnTo>
                  <a:pt x="0" y="423863"/>
                </a:lnTo>
                <a:lnTo>
                  <a:pt x="0" y="0"/>
                </a:lnTo>
                <a:lnTo>
                  <a:pt x="409575" y="0"/>
                </a:lnTo>
                <a:lnTo>
                  <a:pt x="409575" y="347663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FEAE55C4-15A6-4389-B980-9753F7F47345}"/>
              </a:ext>
            </a:extLst>
          </xdr:cNvPr>
          <xdr:cNvCxnSpPr/>
        </xdr:nvCxnSpPr>
        <xdr:spPr>
          <a:xfrm>
            <a:off x="5024437" y="18021292"/>
            <a:ext cx="0" cy="719138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7579C044-82C0-46C2-A54D-140EAC867859}"/>
              </a:ext>
            </a:extLst>
          </xdr:cNvPr>
          <xdr:cNvCxnSpPr/>
        </xdr:nvCxnSpPr>
        <xdr:spPr>
          <a:xfrm>
            <a:off x="6553199" y="19150004"/>
            <a:ext cx="0" cy="719138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CCDB6ACE-37FB-400E-A8BF-8E1C283AB7E4}"/>
              </a:ext>
            </a:extLst>
          </xdr:cNvPr>
          <xdr:cNvCxnSpPr/>
        </xdr:nvCxnSpPr>
        <xdr:spPr>
          <a:xfrm>
            <a:off x="5019675" y="18211786"/>
            <a:ext cx="1524000" cy="115252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9751D048-17BB-4712-8AD2-B2C190E96140}"/>
              </a:ext>
            </a:extLst>
          </xdr:cNvPr>
          <xdr:cNvCxnSpPr/>
        </xdr:nvCxnSpPr>
        <xdr:spPr>
          <a:xfrm flipV="1">
            <a:off x="5429250" y="17797463"/>
            <a:ext cx="0" cy="3381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D10A53AF-98D8-491B-8697-F52A8FD7DB58}"/>
              </a:ext>
            </a:extLst>
          </xdr:cNvPr>
          <xdr:cNvCxnSpPr/>
        </xdr:nvCxnSpPr>
        <xdr:spPr>
          <a:xfrm>
            <a:off x="5353049" y="17878425"/>
            <a:ext cx="6286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4623529F-E448-4C0D-83E8-2FBA353157FE}"/>
              </a:ext>
            </a:extLst>
          </xdr:cNvPr>
          <xdr:cNvCxnSpPr/>
        </xdr:nvCxnSpPr>
        <xdr:spPr>
          <a:xfrm>
            <a:off x="5915026" y="17806988"/>
            <a:ext cx="0" cy="6477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BE907646-CB89-47FA-9FC9-CB55B7694E38}"/>
              </a:ext>
            </a:extLst>
          </xdr:cNvPr>
          <xdr:cNvCxnSpPr/>
        </xdr:nvCxnSpPr>
        <xdr:spPr>
          <a:xfrm flipH="1">
            <a:off x="5372100" y="17830799"/>
            <a:ext cx="100013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7FE3B44A-D1A0-417F-AE50-919B505345E6}"/>
              </a:ext>
            </a:extLst>
          </xdr:cNvPr>
          <xdr:cNvCxnSpPr/>
        </xdr:nvCxnSpPr>
        <xdr:spPr>
          <a:xfrm flipH="1">
            <a:off x="5862638" y="17830799"/>
            <a:ext cx="100013" cy="100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4F14426E-9FD1-4CE1-9F04-AD94225F4E9F}"/>
              </a:ext>
            </a:extLst>
          </xdr:cNvPr>
          <xdr:cNvCxnSpPr/>
        </xdr:nvCxnSpPr>
        <xdr:spPr>
          <a:xfrm>
            <a:off x="5505450" y="18164175"/>
            <a:ext cx="8905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12565C17-C3C6-4961-BA3D-864D56F03FEA}"/>
              </a:ext>
            </a:extLst>
          </xdr:cNvPr>
          <xdr:cNvCxnSpPr/>
        </xdr:nvCxnSpPr>
        <xdr:spPr>
          <a:xfrm>
            <a:off x="5953125" y="18507075"/>
            <a:ext cx="4429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1A48E374-03FF-436B-8A24-AFEE29819A69}"/>
              </a:ext>
            </a:extLst>
          </xdr:cNvPr>
          <xdr:cNvCxnSpPr/>
        </xdr:nvCxnSpPr>
        <xdr:spPr>
          <a:xfrm>
            <a:off x="6315075" y="18097500"/>
            <a:ext cx="0" cy="481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827D2750-43CF-4AD7-B510-EC0AEE82BAC0}"/>
              </a:ext>
            </a:extLst>
          </xdr:cNvPr>
          <xdr:cNvCxnSpPr/>
        </xdr:nvCxnSpPr>
        <xdr:spPr>
          <a:xfrm flipH="1">
            <a:off x="6262687" y="18121313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3FA566BF-65AD-4975-AD56-E152A0A4CA73}"/>
              </a:ext>
            </a:extLst>
          </xdr:cNvPr>
          <xdr:cNvCxnSpPr/>
        </xdr:nvCxnSpPr>
        <xdr:spPr>
          <a:xfrm flipH="1">
            <a:off x="6267450" y="18459449"/>
            <a:ext cx="95250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5BE67922-6115-424A-9ADF-89895E9569B3}"/>
              </a:ext>
            </a:extLst>
          </xdr:cNvPr>
          <xdr:cNvCxnSpPr/>
        </xdr:nvCxnSpPr>
        <xdr:spPr>
          <a:xfrm>
            <a:off x="5314950" y="19211925"/>
            <a:ext cx="5334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3" name="Arc 132">
            <a:extLst>
              <a:ext uri="{FF2B5EF4-FFF2-40B4-BE49-F238E27FC236}">
                <a16:creationId xmlns:a16="http://schemas.microsoft.com/office/drawing/2014/main" id="{2A705756-B03B-468C-9320-6778C823044A}"/>
              </a:ext>
            </a:extLst>
          </xdr:cNvPr>
          <xdr:cNvSpPr/>
        </xdr:nvSpPr>
        <xdr:spPr>
          <a:xfrm rot="14837915">
            <a:off x="5562599" y="19030949"/>
            <a:ext cx="285750" cy="28575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85728</xdr:colOff>
      <xdr:row>172</xdr:row>
      <xdr:rowOff>57151</xdr:rowOff>
    </xdr:from>
    <xdr:to>
      <xdr:col>27</xdr:col>
      <xdr:colOff>76200</xdr:colOff>
      <xdr:row>198</xdr:row>
      <xdr:rowOff>85725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BCE4E2CE-DBE4-49E7-B65B-93CF511C3CBE}"/>
            </a:ext>
          </a:extLst>
        </xdr:cNvPr>
        <xdr:cNvGrpSpPr/>
      </xdr:nvGrpSpPr>
      <xdr:grpSpPr>
        <a:xfrm>
          <a:off x="571503" y="26174701"/>
          <a:ext cx="3876672" cy="3743324"/>
          <a:chOff x="571503" y="26174701"/>
          <a:chExt cx="3876672" cy="3743324"/>
        </a:xfrm>
      </xdr:grpSpPr>
      <xdr:sp macro="" textlink="">
        <xdr:nvSpPr>
          <xdr:cNvPr id="135" name="Freeform: Shape 134">
            <a:extLst>
              <a:ext uri="{FF2B5EF4-FFF2-40B4-BE49-F238E27FC236}">
                <a16:creationId xmlns:a16="http://schemas.microsoft.com/office/drawing/2014/main" id="{D3B67300-9A83-4BD2-9F6A-46E551C305A4}"/>
              </a:ext>
            </a:extLst>
          </xdr:cNvPr>
          <xdr:cNvSpPr/>
        </xdr:nvSpPr>
        <xdr:spPr>
          <a:xfrm>
            <a:off x="809625" y="28122564"/>
            <a:ext cx="3562350" cy="1562100"/>
          </a:xfrm>
          <a:custGeom>
            <a:avLst/>
            <a:gdLst>
              <a:gd name="connsiteX0" fmla="*/ 0 w 3562350"/>
              <a:gd name="connsiteY0" fmla="*/ 1423987 h 1562100"/>
              <a:gd name="connsiteX1" fmla="*/ 647700 w 3562350"/>
              <a:gd name="connsiteY1" fmla="*/ 1423987 h 1562100"/>
              <a:gd name="connsiteX2" fmla="*/ 647700 w 3562350"/>
              <a:gd name="connsiteY2" fmla="*/ 1285875 h 1562100"/>
              <a:gd name="connsiteX3" fmla="*/ 885825 w 3562350"/>
              <a:gd name="connsiteY3" fmla="*/ 1285875 h 1562100"/>
              <a:gd name="connsiteX4" fmla="*/ 885825 w 3562350"/>
              <a:gd name="connsiteY4" fmla="*/ 1143000 h 1562100"/>
              <a:gd name="connsiteX5" fmla="*/ 1133475 w 3562350"/>
              <a:gd name="connsiteY5" fmla="*/ 1143000 h 1562100"/>
              <a:gd name="connsiteX6" fmla="*/ 1133475 w 3562350"/>
              <a:gd name="connsiteY6" fmla="*/ 995362 h 1562100"/>
              <a:gd name="connsiteX7" fmla="*/ 1376363 w 3562350"/>
              <a:gd name="connsiteY7" fmla="*/ 995362 h 1562100"/>
              <a:gd name="connsiteX8" fmla="*/ 1376363 w 3562350"/>
              <a:gd name="connsiteY8" fmla="*/ 857250 h 1562100"/>
              <a:gd name="connsiteX9" fmla="*/ 1619250 w 3562350"/>
              <a:gd name="connsiteY9" fmla="*/ 857250 h 1562100"/>
              <a:gd name="connsiteX10" fmla="*/ 1619250 w 3562350"/>
              <a:gd name="connsiteY10" fmla="*/ 714375 h 1562100"/>
              <a:gd name="connsiteX11" fmla="*/ 1866900 w 3562350"/>
              <a:gd name="connsiteY11" fmla="*/ 714375 h 1562100"/>
              <a:gd name="connsiteX12" fmla="*/ 1866900 w 3562350"/>
              <a:gd name="connsiteY12" fmla="*/ 566737 h 1562100"/>
              <a:gd name="connsiteX13" fmla="*/ 2109788 w 3562350"/>
              <a:gd name="connsiteY13" fmla="*/ 566737 h 1562100"/>
              <a:gd name="connsiteX14" fmla="*/ 2109788 w 3562350"/>
              <a:gd name="connsiteY14" fmla="*/ 423862 h 1562100"/>
              <a:gd name="connsiteX15" fmla="*/ 2352675 w 3562350"/>
              <a:gd name="connsiteY15" fmla="*/ 423862 h 1562100"/>
              <a:gd name="connsiteX16" fmla="*/ 2352675 w 3562350"/>
              <a:gd name="connsiteY16" fmla="*/ 280987 h 1562100"/>
              <a:gd name="connsiteX17" fmla="*/ 2595563 w 3562350"/>
              <a:gd name="connsiteY17" fmla="*/ 280987 h 1562100"/>
              <a:gd name="connsiteX18" fmla="*/ 2595563 w 3562350"/>
              <a:gd name="connsiteY18" fmla="*/ 138112 h 1562100"/>
              <a:gd name="connsiteX19" fmla="*/ 2838450 w 3562350"/>
              <a:gd name="connsiteY19" fmla="*/ 138112 h 1562100"/>
              <a:gd name="connsiteX20" fmla="*/ 2838450 w 3562350"/>
              <a:gd name="connsiteY20" fmla="*/ 0 h 1562100"/>
              <a:gd name="connsiteX21" fmla="*/ 3562350 w 3562350"/>
              <a:gd name="connsiteY21" fmla="*/ 0 h 1562100"/>
              <a:gd name="connsiteX22" fmla="*/ 3562350 w 3562350"/>
              <a:gd name="connsiteY22" fmla="*/ 133350 h 1562100"/>
              <a:gd name="connsiteX23" fmla="*/ 3067050 w 3562350"/>
              <a:gd name="connsiteY23" fmla="*/ 133350 h 1562100"/>
              <a:gd name="connsiteX24" fmla="*/ 647700 w 3562350"/>
              <a:gd name="connsiteY24" fmla="*/ 1562100 h 1562100"/>
              <a:gd name="connsiteX25" fmla="*/ 4763 w 3562350"/>
              <a:gd name="connsiteY25" fmla="*/ 1562100 h 1562100"/>
              <a:gd name="connsiteX26" fmla="*/ 0 w 3562350"/>
              <a:gd name="connsiteY26" fmla="*/ 1423987 h 1562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</a:cxnLst>
            <a:rect l="l" t="t" r="r" b="b"/>
            <a:pathLst>
              <a:path w="3562350" h="1562100">
                <a:moveTo>
                  <a:pt x="0" y="1423987"/>
                </a:moveTo>
                <a:lnTo>
                  <a:pt x="647700" y="1423987"/>
                </a:lnTo>
                <a:lnTo>
                  <a:pt x="647700" y="1285875"/>
                </a:lnTo>
                <a:lnTo>
                  <a:pt x="885825" y="1285875"/>
                </a:lnTo>
                <a:lnTo>
                  <a:pt x="885825" y="1143000"/>
                </a:lnTo>
                <a:lnTo>
                  <a:pt x="1133475" y="1143000"/>
                </a:lnTo>
                <a:lnTo>
                  <a:pt x="1133475" y="995362"/>
                </a:lnTo>
                <a:lnTo>
                  <a:pt x="1376363" y="995362"/>
                </a:lnTo>
                <a:lnTo>
                  <a:pt x="1376363" y="857250"/>
                </a:lnTo>
                <a:lnTo>
                  <a:pt x="1619250" y="857250"/>
                </a:lnTo>
                <a:lnTo>
                  <a:pt x="1619250" y="714375"/>
                </a:lnTo>
                <a:lnTo>
                  <a:pt x="1866900" y="714375"/>
                </a:lnTo>
                <a:lnTo>
                  <a:pt x="1866900" y="566737"/>
                </a:lnTo>
                <a:lnTo>
                  <a:pt x="2109788" y="566737"/>
                </a:lnTo>
                <a:lnTo>
                  <a:pt x="2109788" y="423862"/>
                </a:lnTo>
                <a:lnTo>
                  <a:pt x="2352675" y="423862"/>
                </a:lnTo>
                <a:lnTo>
                  <a:pt x="2352675" y="280987"/>
                </a:lnTo>
                <a:lnTo>
                  <a:pt x="2595563" y="280987"/>
                </a:lnTo>
                <a:lnTo>
                  <a:pt x="2595563" y="138112"/>
                </a:lnTo>
                <a:lnTo>
                  <a:pt x="2838450" y="138112"/>
                </a:lnTo>
                <a:lnTo>
                  <a:pt x="2838450" y="0"/>
                </a:lnTo>
                <a:lnTo>
                  <a:pt x="3562350" y="0"/>
                </a:lnTo>
                <a:lnTo>
                  <a:pt x="3562350" y="133350"/>
                </a:lnTo>
                <a:lnTo>
                  <a:pt x="3067050" y="133350"/>
                </a:lnTo>
                <a:lnTo>
                  <a:pt x="647700" y="1562100"/>
                </a:lnTo>
                <a:lnTo>
                  <a:pt x="4763" y="1562100"/>
                </a:lnTo>
                <a:lnTo>
                  <a:pt x="0" y="1423987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6" name="Freeform: Shape 135">
            <a:extLst>
              <a:ext uri="{FF2B5EF4-FFF2-40B4-BE49-F238E27FC236}">
                <a16:creationId xmlns:a16="http://schemas.microsoft.com/office/drawing/2014/main" id="{83A6B9E9-1F8E-4E58-A5B3-4052F708DEC9}"/>
              </a:ext>
            </a:extLst>
          </xdr:cNvPr>
          <xdr:cNvSpPr/>
        </xdr:nvSpPr>
        <xdr:spPr>
          <a:xfrm>
            <a:off x="814387" y="26693812"/>
            <a:ext cx="3057525" cy="1428750"/>
          </a:xfrm>
          <a:custGeom>
            <a:avLst/>
            <a:gdLst>
              <a:gd name="connsiteX0" fmla="*/ 638175 w 3057525"/>
              <a:gd name="connsiteY0" fmla="*/ 138112 h 1428750"/>
              <a:gd name="connsiteX1" fmla="*/ 0 w 3057525"/>
              <a:gd name="connsiteY1" fmla="*/ 138112 h 1428750"/>
              <a:gd name="connsiteX2" fmla="*/ 0 w 3057525"/>
              <a:gd name="connsiteY2" fmla="*/ 0 h 1428750"/>
              <a:gd name="connsiteX3" fmla="*/ 885825 w 3057525"/>
              <a:gd name="connsiteY3" fmla="*/ 0 h 1428750"/>
              <a:gd name="connsiteX4" fmla="*/ 885825 w 3057525"/>
              <a:gd name="connsiteY4" fmla="*/ 142875 h 1428750"/>
              <a:gd name="connsiteX5" fmla="*/ 1128713 w 3057525"/>
              <a:gd name="connsiteY5" fmla="*/ 142875 h 1428750"/>
              <a:gd name="connsiteX6" fmla="*/ 1128713 w 3057525"/>
              <a:gd name="connsiteY6" fmla="*/ 285750 h 1428750"/>
              <a:gd name="connsiteX7" fmla="*/ 1362075 w 3057525"/>
              <a:gd name="connsiteY7" fmla="*/ 285750 h 1428750"/>
              <a:gd name="connsiteX8" fmla="*/ 1362075 w 3057525"/>
              <a:gd name="connsiteY8" fmla="*/ 423862 h 1428750"/>
              <a:gd name="connsiteX9" fmla="*/ 1614488 w 3057525"/>
              <a:gd name="connsiteY9" fmla="*/ 423862 h 1428750"/>
              <a:gd name="connsiteX10" fmla="*/ 1614488 w 3057525"/>
              <a:gd name="connsiteY10" fmla="*/ 571500 h 1428750"/>
              <a:gd name="connsiteX11" fmla="*/ 1857375 w 3057525"/>
              <a:gd name="connsiteY11" fmla="*/ 571500 h 1428750"/>
              <a:gd name="connsiteX12" fmla="*/ 1857375 w 3057525"/>
              <a:gd name="connsiteY12" fmla="*/ 714375 h 1428750"/>
              <a:gd name="connsiteX13" fmla="*/ 2100263 w 3057525"/>
              <a:gd name="connsiteY13" fmla="*/ 714375 h 1428750"/>
              <a:gd name="connsiteX14" fmla="*/ 2100263 w 3057525"/>
              <a:gd name="connsiteY14" fmla="*/ 852487 h 1428750"/>
              <a:gd name="connsiteX15" fmla="*/ 2343150 w 3057525"/>
              <a:gd name="connsiteY15" fmla="*/ 852487 h 1428750"/>
              <a:gd name="connsiteX16" fmla="*/ 2343150 w 3057525"/>
              <a:gd name="connsiteY16" fmla="*/ 1000125 h 1428750"/>
              <a:gd name="connsiteX17" fmla="*/ 2581275 w 3057525"/>
              <a:gd name="connsiteY17" fmla="*/ 1000125 h 1428750"/>
              <a:gd name="connsiteX18" fmla="*/ 2581275 w 3057525"/>
              <a:gd name="connsiteY18" fmla="*/ 1143000 h 1428750"/>
              <a:gd name="connsiteX19" fmla="*/ 2828925 w 3057525"/>
              <a:gd name="connsiteY19" fmla="*/ 1143000 h 1428750"/>
              <a:gd name="connsiteX20" fmla="*/ 2828925 w 3057525"/>
              <a:gd name="connsiteY20" fmla="*/ 1285875 h 1428750"/>
              <a:gd name="connsiteX21" fmla="*/ 3057525 w 3057525"/>
              <a:gd name="connsiteY21" fmla="*/ 1285875 h 1428750"/>
              <a:gd name="connsiteX22" fmla="*/ 3057525 w 3057525"/>
              <a:gd name="connsiteY22" fmla="*/ 1428750 h 1428750"/>
              <a:gd name="connsiteX23" fmla="*/ 2833688 w 3057525"/>
              <a:gd name="connsiteY23" fmla="*/ 1428750 h 1428750"/>
              <a:gd name="connsiteX24" fmla="*/ 638175 w 3057525"/>
              <a:gd name="connsiteY24" fmla="*/ 138112 h 1428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</a:cxnLst>
            <a:rect l="l" t="t" r="r" b="b"/>
            <a:pathLst>
              <a:path w="3057525" h="1428750">
                <a:moveTo>
                  <a:pt x="638175" y="138112"/>
                </a:moveTo>
                <a:lnTo>
                  <a:pt x="0" y="138112"/>
                </a:lnTo>
                <a:lnTo>
                  <a:pt x="0" y="0"/>
                </a:lnTo>
                <a:lnTo>
                  <a:pt x="885825" y="0"/>
                </a:lnTo>
                <a:lnTo>
                  <a:pt x="885825" y="142875"/>
                </a:lnTo>
                <a:lnTo>
                  <a:pt x="1128713" y="142875"/>
                </a:lnTo>
                <a:lnTo>
                  <a:pt x="1128713" y="285750"/>
                </a:lnTo>
                <a:lnTo>
                  <a:pt x="1362075" y="285750"/>
                </a:lnTo>
                <a:lnTo>
                  <a:pt x="1362075" y="423862"/>
                </a:lnTo>
                <a:lnTo>
                  <a:pt x="1614488" y="423862"/>
                </a:lnTo>
                <a:lnTo>
                  <a:pt x="1614488" y="571500"/>
                </a:lnTo>
                <a:lnTo>
                  <a:pt x="1857375" y="571500"/>
                </a:lnTo>
                <a:lnTo>
                  <a:pt x="1857375" y="714375"/>
                </a:lnTo>
                <a:lnTo>
                  <a:pt x="2100263" y="714375"/>
                </a:lnTo>
                <a:lnTo>
                  <a:pt x="2100263" y="852487"/>
                </a:lnTo>
                <a:lnTo>
                  <a:pt x="2343150" y="852487"/>
                </a:lnTo>
                <a:lnTo>
                  <a:pt x="2343150" y="1000125"/>
                </a:lnTo>
                <a:lnTo>
                  <a:pt x="2581275" y="1000125"/>
                </a:lnTo>
                <a:lnTo>
                  <a:pt x="2581275" y="1143000"/>
                </a:lnTo>
                <a:lnTo>
                  <a:pt x="2828925" y="1143000"/>
                </a:lnTo>
                <a:lnTo>
                  <a:pt x="2828925" y="1285875"/>
                </a:lnTo>
                <a:lnTo>
                  <a:pt x="3057525" y="1285875"/>
                </a:lnTo>
                <a:lnTo>
                  <a:pt x="3057525" y="1428750"/>
                </a:lnTo>
                <a:lnTo>
                  <a:pt x="2833688" y="1428750"/>
                </a:lnTo>
                <a:lnTo>
                  <a:pt x="638175" y="138112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E06B1B13-57C4-4A1F-AA88-0AEEE3F5F173}"/>
              </a:ext>
            </a:extLst>
          </xdr:cNvPr>
          <xdr:cNvCxnSpPr/>
        </xdr:nvCxnSpPr>
        <xdr:spPr>
          <a:xfrm flipV="1">
            <a:off x="1133475" y="26636664"/>
            <a:ext cx="0" cy="29908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6116B9CA-78D3-411F-BA8B-08C9A2069D72}"/>
              </a:ext>
            </a:extLst>
          </xdr:cNvPr>
          <xdr:cNvCxnSpPr/>
        </xdr:nvCxnSpPr>
        <xdr:spPr>
          <a:xfrm flipH="1">
            <a:off x="1090613" y="26655713"/>
            <a:ext cx="80963" cy="85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9E6DBE60-3C4E-40C4-BF3F-A39033051A24}"/>
              </a:ext>
            </a:extLst>
          </xdr:cNvPr>
          <xdr:cNvCxnSpPr/>
        </xdr:nvCxnSpPr>
        <xdr:spPr>
          <a:xfrm flipH="1">
            <a:off x="1090613" y="29508456"/>
            <a:ext cx="80963" cy="85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838119FC-7D6F-462A-BBCF-92A3F7385827}"/>
              </a:ext>
            </a:extLst>
          </xdr:cNvPr>
          <xdr:cNvCxnSpPr/>
        </xdr:nvCxnSpPr>
        <xdr:spPr>
          <a:xfrm>
            <a:off x="1047750" y="28117801"/>
            <a:ext cx="25479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C13F4648-90D0-4C47-B7E0-110BC19F0800}"/>
              </a:ext>
            </a:extLst>
          </xdr:cNvPr>
          <xdr:cNvCxnSpPr/>
        </xdr:nvCxnSpPr>
        <xdr:spPr>
          <a:xfrm flipH="1">
            <a:off x="1090613" y="28079700"/>
            <a:ext cx="80962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31238099-43FE-4D46-9A75-F00DF4AAA401}"/>
              </a:ext>
            </a:extLst>
          </xdr:cNvPr>
          <xdr:cNvCxnSpPr/>
        </xdr:nvCxnSpPr>
        <xdr:spPr>
          <a:xfrm flipV="1">
            <a:off x="1457325" y="26174701"/>
            <a:ext cx="0" cy="3724274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798F6666-D954-4881-B367-3E011D2BC901}"/>
              </a:ext>
            </a:extLst>
          </xdr:cNvPr>
          <xdr:cNvCxnSpPr/>
        </xdr:nvCxnSpPr>
        <xdr:spPr>
          <a:xfrm flipV="1">
            <a:off x="4371975" y="26179468"/>
            <a:ext cx="0" cy="373855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54C9CFA2-0BD8-470D-B527-05B391B55DCF}"/>
              </a:ext>
            </a:extLst>
          </xdr:cNvPr>
          <xdr:cNvCxnSpPr/>
        </xdr:nvCxnSpPr>
        <xdr:spPr>
          <a:xfrm>
            <a:off x="1376363" y="26403301"/>
            <a:ext cx="30718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CA1F0914-F943-400F-A264-A7BFF14B6958}"/>
              </a:ext>
            </a:extLst>
          </xdr:cNvPr>
          <xdr:cNvCxnSpPr/>
        </xdr:nvCxnSpPr>
        <xdr:spPr>
          <a:xfrm flipH="1">
            <a:off x="1409700" y="26355675"/>
            <a:ext cx="85725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54ECC356-D1A5-4256-B807-0A3B14D59631}"/>
              </a:ext>
            </a:extLst>
          </xdr:cNvPr>
          <xdr:cNvCxnSpPr/>
        </xdr:nvCxnSpPr>
        <xdr:spPr>
          <a:xfrm flipH="1">
            <a:off x="4329112" y="26355675"/>
            <a:ext cx="85725" cy="1000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E102A3E6-9CB7-4DAF-97F8-F723E3F49CDC}"/>
              </a:ext>
            </a:extLst>
          </xdr:cNvPr>
          <xdr:cNvCxnSpPr/>
        </xdr:nvCxnSpPr>
        <xdr:spPr>
          <a:xfrm flipV="1">
            <a:off x="2671762" y="27046238"/>
            <a:ext cx="0" cy="2047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9FEC4C2C-EB6D-4CF1-AF99-FC07DCCD88A4}"/>
              </a:ext>
            </a:extLst>
          </xdr:cNvPr>
          <xdr:cNvCxnSpPr/>
        </xdr:nvCxnSpPr>
        <xdr:spPr>
          <a:xfrm>
            <a:off x="2605088" y="27117675"/>
            <a:ext cx="371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C327C8EB-4BEB-40D9-8FA0-4CFFCB3628EE}"/>
              </a:ext>
            </a:extLst>
          </xdr:cNvPr>
          <xdr:cNvCxnSpPr/>
        </xdr:nvCxnSpPr>
        <xdr:spPr>
          <a:xfrm flipH="1">
            <a:off x="2628901" y="27079575"/>
            <a:ext cx="80962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5FD89645-8F8C-4F03-B95B-9D70746E9C75}"/>
              </a:ext>
            </a:extLst>
          </xdr:cNvPr>
          <xdr:cNvCxnSpPr/>
        </xdr:nvCxnSpPr>
        <xdr:spPr>
          <a:xfrm flipV="1">
            <a:off x="2914650" y="27046238"/>
            <a:ext cx="0" cy="3238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AB99323C-9EF9-4CC7-8A68-7198279C31F7}"/>
              </a:ext>
            </a:extLst>
          </xdr:cNvPr>
          <xdr:cNvCxnSpPr/>
        </xdr:nvCxnSpPr>
        <xdr:spPr>
          <a:xfrm flipH="1">
            <a:off x="2871789" y="27079574"/>
            <a:ext cx="80962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8214473A-FD1B-4B8D-A0C5-4DAC08359464}"/>
              </a:ext>
            </a:extLst>
          </xdr:cNvPr>
          <xdr:cNvCxnSpPr/>
        </xdr:nvCxnSpPr>
        <xdr:spPr>
          <a:xfrm>
            <a:off x="2943225" y="27403425"/>
            <a:ext cx="1952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120A8B44-A9FC-433B-B948-F6F4668EA772}"/>
              </a:ext>
            </a:extLst>
          </xdr:cNvPr>
          <xdr:cNvCxnSpPr/>
        </xdr:nvCxnSpPr>
        <xdr:spPr>
          <a:xfrm>
            <a:off x="3076575" y="27203400"/>
            <a:ext cx="0" cy="2571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DB085614-C4E1-4746-BBC0-5AFA9383AB56}"/>
              </a:ext>
            </a:extLst>
          </xdr:cNvPr>
          <xdr:cNvCxnSpPr/>
        </xdr:nvCxnSpPr>
        <xdr:spPr>
          <a:xfrm flipH="1">
            <a:off x="3033712" y="27370088"/>
            <a:ext cx="76200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3D0611E7-9A46-49E6-8C4E-D0076884CDF0}"/>
              </a:ext>
            </a:extLst>
          </xdr:cNvPr>
          <xdr:cNvCxnSpPr/>
        </xdr:nvCxnSpPr>
        <xdr:spPr>
          <a:xfrm>
            <a:off x="2733675" y="27260550"/>
            <a:ext cx="4048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26E8FA6B-334E-44DB-A161-A73FE1E7D01B}"/>
              </a:ext>
            </a:extLst>
          </xdr:cNvPr>
          <xdr:cNvCxnSpPr/>
        </xdr:nvCxnSpPr>
        <xdr:spPr>
          <a:xfrm flipH="1">
            <a:off x="3033712" y="27227213"/>
            <a:ext cx="76200" cy="76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10929E30-626C-484A-A74F-33B8779306D5}"/>
              </a:ext>
            </a:extLst>
          </xdr:cNvPr>
          <xdr:cNvCxnSpPr/>
        </xdr:nvCxnSpPr>
        <xdr:spPr>
          <a:xfrm flipH="1">
            <a:off x="2290763" y="27122438"/>
            <a:ext cx="223838" cy="366712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3E56EE35-A7D5-4F18-AAD5-E6CBDCCE2B2B}"/>
              </a:ext>
            </a:extLst>
          </xdr:cNvPr>
          <xdr:cNvCxnSpPr/>
        </xdr:nvCxnSpPr>
        <xdr:spPr>
          <a:xfrm flipH="1">
            <a:off x="2314576" y="27141488"/>
            <a:ext cx="223838" cy="366712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172A6B49-A181-44E6-BD1F-17EE209090C2}"/>
              </a:ext>
            </a:extLst>
          </xdr:cNvPr>
          <xdr:cNvCxnSpPr/>
        </xdr:nvCxnSpPr>
        <xdr:spPr>
          <a:xfrm>
            <a:off x="2573287" y="28727400"/>
            <a:ext cx="174983" cy="319088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5D1A1F99-0BC7-4725-A6FF-585FD729BB04}"/>
              </a:ext>
            </a:extLst>
          </xdr:cNvPr>
          <xdr:cNvCxnSpPr/>
        </xdr:nvCxnSpPr>
        <xdr:spPr>
          <a:xfrm>
            <a:off x="2597099" y="28708350"/>
            <a:ext cx="174983" cy="319088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66A2481E-3503-47B3-A99A-56683F9B5760}"/>
              </a:ext>
            </a:extLst>
          </xdr:cNvPr>
          <xdr:cNvCxnSpPr/>
        </xdr:nvCxnSpPr>
        <xdr:spPr>
          <a:xfrm>
            <a:off x="814388" y="26593800"/>
            <a:ext cx="0" cy="36195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A83689B-815E-4D2E-924C-4B7127136D0D}"/>
              </a:ext>
            </a:extLst>
          </xdr:cNvPr>
          <xdr:cNvCxnSpPr/>
        </xdr:nvCxnSpPr>
        <xdr:spPr>
          <a:xfrm>
            <a:off x="809625" y="29446540"/>
            <a:ext cx="0" cy="36195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4475C0BE-0174-43FE-9B35-3FFD6D3F19BD}"/>
              </a:ext>
            </a:extLst>
          </xdr:cNvPr>
          <xdr:cNvCxnSpPr>
            <a:stCxn id="135" idx="20"/>
            <a:endCxn id="135" idx="23"/>
          </xdr:cNvCxnSpPr>
        </xdr:nvCxnSpPr>
        <xdr:spPr>
          <a:xfrm>
            <a:off x="3648075" y="28122564"/>
            <a:ext cx="228600" cy="13335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Connector 163">
            <a:extLst>
              <a:ext uri="{FF2B5EF4-FFF2-40B4-BE49-F238E27FC236}">
                <a16:creationId xmlns:a16="http://schemas.microsoft.com/office/drawing/2014/main" id="{8816E9B1-E16C-4150-BCC0-BA7470CC2585}"/>
              </a:ext>
            </a:extLst>
          </xdr:cNvPr>
          <xdr:cNvCxnSpPr/>
        </xdr:nvCxnSpPr>
        <xdr:spPr>
          <a:xfrm flipV="1">
            <a:off x="647699" y="26631900"/>
            <a:ext cx="0" cy="29908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6EA4ACD6-DFF6-463E-8A34-0316941D891E}"/>
              </a:ext>
            </a:extLst>
          </xdr:cNvPr>
          <xdr:cNvCxnSpPr/>
        </xdr:nvCxnSpPr>
        <xdr:spPr>
          <a:xfrm flipH="1">
            <a:off x="604837" y="26650949"/>
            <a:ext cx="80963" cy="85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16F0AC3C-59B2-4D38-A169-2621B91AC291}"/>
              </a:ext>
            </a:extLst>
          </xdr:cNvPr>
          <xdr:cNvCxnSpPr/>
        </xdr:nvCxnSpPr>
        <xdr:spPr>
          <a:xfrm flipH="1">
            <a:off x="604837" y="29503692"/>
            <a:ext cx="80963" cy="8572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C4B269DD-DE7C-42E3-A36C-69B2D285552A}"/>
              </a:ext>
            </a:extLst>
          </xdr:cNvPr>
          <xdr:cNvCxnSpPr/>
        </xdr:nvCxnSpPr>
        <xdr:spPr>
          <a:xfrm>
            <a:off x="571503" y="26689051"/>
            <a:ext cx="19049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E475D80D-7F9E-470B-9BD1-4C20DC5AE085}"/>
              </a:ext>
            </a:extLst>
          </xdr:cNvPr>
          <xdr:cNvCxnSpPr/>
        </xdr:nvCxnSpPr>
        <xdr:spPr>
          <a:xfrm>
            <a:off x="585790" y="29546553"/>
            <a:ext cx="19049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id="{07D313F2-2A88-4CF7-8CDA-C47B9521ECA8}"/>
              </a:ext>
            </a:extLst>
          </xdr:cNvPr>
          <xdr:cNvSpPr/>
        </xdr:nvSpPr>
        <xdr:spPr>
          <a:xfrm>
            <a:off x="3852863" y="27979688"/>
            <a:ext cx="385762" cy="142875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id="{9792CE3D-7E87-45B9-84A6-73271CA6930A}"/>
              </a:ext>
            </a:extLst>
          </xdr:cNvPr>
          <xdr:cNvSpPr/>
        </xdr:nvSpPr>
        <xdr:spPr>
          <a:xfrm>
            <a:off x="3633788" y="27836813"/>
            <a:ext cx="295275" cy="142875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1" name="Rectangle 170">
            <a:extLst>
              <a:ext uri="{FF2B5EF4-FFF2-40B4-BE49-F238E27FC236}">
                <a16:creationId xmlns:a16="http://schemas.microsoft.com/office/drawing/2014/main" id="{64D2CC28-7A94-4153-83C1-51DEE365D9B0}"/>
              </a:ext>
            </a:extLst>
          </xdr:cNvPr>
          <xdr:cNvSpPr/>
        </xdr:nvSpPr>
        <xdr:spPr>
          <a:xfrm>
            <a:off x="3395662" y="27693937"/>
            <a:ext cx="195263" cy="142875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2" name="Rectangle 171">
            <a:extLst>
              <a:ext uri="{FF2B5EF4-FFF2-40B4-BE49-F238E27FC236}">
                <a16:creationId xmlns:a16="http://schemas.microsoft.com/office/drawing/2014/main" id="{EBD10B0C-F3A1-491D-A83E-F85C3E4EF4DC}"/>
              </a:ext>
            </a:extLst>
          </xdr:cNvPr>
          <xdr:cNvSpPr/>
        </xdr:nvSpPr>
        <xdr:spPr>
          <a:xfrm>
            <a:off x="3495674" y="28117800"/>
            <a:ext cx="152399" cy="142875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39A8F9F5-DA2D-4AC2-AE59-F69BE7A8E413}"/>
              </a:ext>
            </a:extLst>
          </xdr:cNvPr>
          <xdr:cNvCxnSpPr/>
        </xdr:nvCxnSpPr>
        <xdr:spPr>
          <a:xfrm>
            <a:off x="2595567" y="27832055"/>
            <a:ext cx="5429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4" name="Arc 173">
            <a:extLst>
              <a:ext uri="{FF2B5EF4-FFF2-40B4-BE49-F238E27FC236}">
                <a16:creationId xmlns:a16="http://schemas.microsoft.com/office/drawing/2014/main" id="{35EE9F17-5B51-4366-8B65-E583F544F049}"/>
              </a:ext>
            </a:extLst>
          </xdr:cNvPr>
          <xdr:cNvSpPr/>
        </xdr:nvSpPr>
        <xdr:spPr>
          <a:xfrm rot="14589436">
            <a:off x="2900369" y="27712992"/>
            <a:ext cx="171450" cy="171450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47625</xdr:colOff>
      <xdr:row>83</xdr:row>
      <xdr:rowOff>495300</xdr:rowOff>
    </xdr:from>
    <xdr:to>
      <xdr:col>50</xdr:col>
      <xdr:colOff>123825</xdr:colOff>
      <xdr:row>128</xdr:row>
      <xdr:rowOff>104775</xdr:rowOff>
    </xdr:to>
    <xdr:grpSp>
      <xdr:nvGrpSpPr>
        <xdr:cNvPr id="175" name="Group 174">
          <a:extLst>
            <a:ext uri="{FF2B5EF4-FFF2-40B4-BE49-F238E27FC236}">
              <a16:creationId xmlns:a16="http://schemas.microsoft.com/office/drawing/2014/main" id="{BAFAF375-DC17-4883-AA7A-93ADFA717068}"/>
            </a:ext>
          </a:extLst>
        </xdr:cNvPr>
        <xdr:cNvGrpSpPr/>
      </xdr:nvGrpSpPr>
      <xdr:grpSpPr>
        <a:xfrm>
          <a:off x="533400" y="12839700"/>
          <a:ext cx="7686675" cy="6572250"/>
          <a:chOff x="533400" y="12839700"/>
          <a:chExt cx="7686675" cy="6572250"/>
        </a:xfrm>
      </xdr:grpSpPr>
      <xdr:sp macro="" textlink="">
        <xdr:nvSpPr>
          <xdr:cNvPr id="176" name="Arc 175">
            <a:extLst>
              <a:ext uri="{FF2B5EF4-FFF2-40B4-BE49-F238E27FC236}">
                <a16:creationId xmlns:a16="http://schemas.microsoft.com/office/drawing/2014/main" id="{DC092474-2D42-4071-98CF-5520A3C7D9D1}"/>
              </a:ext>
            </a:extLst>
          </xdr:cNvPr>
          <xdr:cNvSpPr/>
        </xdr:nvSpPr>
        <xdr:spPr>
          <a:xfrm>
            <a:off x="1704975" y="14006502"/>
            <a:ext cx="4229100" cy="4229100"/>
          </a:xfrm>
          <a:prstGeom prst="arc">
            <a:avLst>
              <a:gd name="adj1" fmla="val 12304334"/>
              <a:gd name="adj2" fmla="val 20111092"/>
            </a:avLst>
          </a:prstGeom>
          <a:ln w="12700">
            <a:solidFill>
              <a:schemeClr val="accent1">
                <a:lumMod val="75000"/>
              </a:schemeClr>
            </a:solidFill>
            <a:head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7" name="Block Arc 176">
            <a:extLst>
              <a:ext uri="{FF2B5EF4-FFF2-40B4-BE49-F238E27FC236}">
                <a16:creationId xmlns:a16="http://schemas.microsoft.com/office/drawing/2014/main" id="{B6A6C708-AA07-43CE-8CD5-DA046B61D47D}"/>
              </a:ext>
            </a:extLst>
          </xdr:cNvPr>
          <xdr:cNvSpPr/>
        </xdr:nvSpPr>
        <xdr:spPr>
          <a:xfrm>
            <a:off x="1052512" y="13330235"/>
            <a:ext cx="5538788" cy="5538788"/>
          </a:xfrm>
          <a:prstGeom prst="blockArc">
            <a:avLst>
              <a:gd name="adj1" fmla="val 12317295"/>
              <a:gd name="adj2" fmla="val 20104864"/>
              <a:gd name="adj3" fmla="val 24898"/>
            </a:avLst>
          </a:prstGeom>
          <a:solidFill>
            <a:schemeClr val="bg1">
              <a:lumMod val="85000"/>
              <a:alpha val="17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>
              <a:solidFill>
                <a:schemeClr val="tx1"/>
              </a:solidFill>
            </a:endParaRPr>
          </a:p>
        </xdr:txBody>
      </xdr: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0FBCEF27-9C29-4A28-BE42-5E7A498811F2}"/>
              </a:ext>
            </a:extLst>
          </xdr:cNvPr>
          <xdr:cNvCxnSpPr/>
        </xdr:nvCxnSpPr>
        <xdr:spPr>
          <a:xfrm flipV="1">
            <a:off x="3827297" y="14943703"/>
            <a:ext cx="2481629" cy="1157203"/>
          </a:xfrm>
          <a:prstGeom prst="line">
            <a:avLst/>
          </a:prstGeom>
          <a:solidFill>
            <a:schemeClr val="bg1">
              <a:alpha val="0"/>
            </a:schemeClr>
          </a:solidFill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E8E6A621-48F7-4169-9976-D4CCBC20C95B}"/>
              </a:ext>
            </a:extLst>
          </xdr:cNvPr>
          <xdr:cNvCxnSpPr/>
        </xdr:nvCxnSpPr>
        <xdr:spPr>
          <a:xfrm flipH="1" flipV="1">
            <a:off x="1328739" y="14916152"/>
            <a:ext cx="2495549" cy="1181098"/>
          </a:xfrm>
          <a:prstGeom prst="line">
            <a:avLst/>
          </a:prstGeom>
          <a:solidFill>
            <a:schemeClr val="bg1">
              <a:alpha val="0"/>
            </a:schemeClr>
          </a:solidFill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FD47D49B-9734-46CC-8035-D70A6B0CB6AD}"/>
              </a:ext>
            </a:extLst>
          </xdr:cNvPr>
          <xdr:cNvCxnSpPr/>
        </xdr:nvCxnSpPr>
        <xdr:spPr>
          <a:xfrm flipV="1">
            <a:off x="3819525" y="13173075"/>
            <a:ext cx="0" cy="3190875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6F99705E-C1DF-4FD3-A124-3F5DA51C25ED}"/>
              </a:ext>
            </a:extLst>
          </xdr:cNvPr>
          <xdr:cNvCxnSpPr/>
        </xdr:nvCxnSpPr>
        <xdr:spPr>
          <a:xfrm flipH="1" flipV="1">
            <a:off x="1647825" y="14385775"/>
            <a:ext cx="1071562" cy="84470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9B97619F-6A7F-4D47-9B52-54D7EBFB4D22}"/>
              </a:ext>
            </a:extLst>
          </xdr:cNvPr>
          <xdr:cNvCxnSpPr/>
        </xdr:nvCxnSpPr>
        <xdr:spPr>
          <a:xfrm flipH="1" flipV="1">
            <a:off x="2076450" y="13947142"/>
            <a:ext cx="866775" cy="106902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C9EF3DEC-AD20-4228-A144-8982B6D802BF}"/>
              </a:ext>
            </a:extLst>
          </xdr:cNvPr>
          <xdr:cNvCxnSpPr/>
        </xdr:nvCxnSpPr>
        <xdr:spPr>
          <a:xfrm flipH="1" flipV="1">
            <a:off x="2600583" y="13611225"/>
            <a:ext cx="604581" cy="124301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E7706FB7-A2B6-4B36-9557-AA23D3B4FA07}"/>
              </a:ext>
            </a:extLst>
          </xdr:cNvPr>
          <xdr:cNvCxnSpPr/>
        </xdr:nvCxnSpPr>
        <xdr:spPr>
          <a:xfrm flipH="1" flipV="1">
            <a:off x="3194899" y="13406438"/>
            <a:ext cx="310302" cy="134302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A59C2046-F003-4E47-87AA-7B728C538E9A}"/>
              </a:ext>
            </a:extLst>
          </xdr:cNvPr>
          <xdr:cNvCxnSpPr/>
        </xdr:nvCxnSpPr>
        <xdr:spPr>
          <a:xfrm>
            <a:off x="3819526" y="13330238"/>
            <a:ext cx="0" cy="138112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96820081-92F6-46A9-A638-D596D0DC97DD}"/>
              </a:ext>
            </a:extLst>
          </xdr:cNvPr>
          <xdr:cNvCxnSpPr/>
        </xdr:nvCxnSpPr>
        <xdr:spPr>
          <a:xfrm flipH="1">
            <a:off x="4124326" y="13406438"/>
            <a:ext cx="312915" cy="13335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104D796E-2156-4B32-AC34-5CD02DC3F626}"/>
              </a:ext>
            </a:extLst>
          </xdr:cNvPr>
          <xdr:cNvCxnSpPr/>
        </xdr:nvCxnSpPr>
        <xdr:spPr>
          <a:xfrm flipH="1">
            <a:off x="4424364" y="13606463"/>
            <a:ext cx="602129" cy="12382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2E559F0D-4BB9-4D6B-92EE-F4DC1D226924}"/>
              </a:ext>
            </a:extLst>
          </xdr:cNvPr>
          <xdr:cNvCxnSpPr/>
        </xdr:nvCxnSpPr>
        <xdr:spPr>
          <a:xfrm flipH="1">
            <a:off x="4691064" y="13944600"/>
            <a:ext cx="860168" cy="10668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7E76B962-305F-42C9-83F5-6F09CBEFC6FE}"/>
              </a:ext>
            </a:extLst>
          </xdr:cNvPr>
          <xdr:cNvCxnSpPr/>
        </xdr:nvCxnSpPr>
        <xdr:spPr>
          <a:xfrm flipH="1">
            <a:off x="4919664" y="14397038"/>
            <a:ext cx="1078925" cy="84772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C4856C5E-CDA7-47EE-B67F-03C574EE67DA}"/>
              </a:ext>
            </a:extLst>
          </xdr:cNvPr>
          <xdr:cNvCxnSpPr/>
        </xdr:nvCxnSpPr>
        <xdr:spPr>
          <a:xfrm flipH="1" flipV="1">
            <a:off x="1085851" y="15235212"/>
            <a:ext cx="2676524" cy="12480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A743925D-F696-41CC-96F2-0349CF6F47AE}"/>
              </a:ext>
            </a:extLst>
          </xdr:cNvPr>
          <xdr:cNvCxnSpPr/>
        </xdr:nvCxnSpPr>
        <xdr:spPr>
          <a:xfrm flipV="1">
            <a:off x="3621176" y="16128832"/>
            <a:ext cx="187717" cy="402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308DD0C4-8F67-4062-9DA2-D7913F8B2FD3}"/>
              </a:ext>
            </a:extLst>
          </xdr:cNvPr>
          <xdr:cNvCxnSpPr/>
        </xdr:nvCxnSpPr>
        <xdr:spPr>
          <a:xfrm>
            <a:off x="3648075" y="16368711"/>
            <a:ext cx="33338" cy="147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C96000E4-DCFD-4531-AE34-7B2F30B9668F}"/>
              </a:ext>
            </a:extLst>
          </xdr:cNvPr>
          <xdr:cNvCxnSpPr/>
        </xdr:nvCxnSpPr>
        <xdr:spPr>
          <a:xfrm flipV="1">
            <a:off x="1128713" y="14959013"/>
            <a:ext cx="187717" cy="4025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18DF11D8-60FD-4C72-8CB1-245B10BF10FA}"/>
              </a:ext>
            </a:extLst>
          </xdr:cNvPr>
          <xdr:cNvCxnSpPr/>
        </xdr:nvCxnSpPr>
        <xdr:spPr>
          <a:xfrm>
            <a:off x="1155612" y="15198892"/>
            <a:ext cx="33338" cy="147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DA7AA12A-D4C1-425F-8A91-9C2F43FD04DB}"/>
              </a:ext>
            </a:extLst>
          </xdr:cNvPr>
          <xdr:cNvCxnSpPr/>
        </xdr:nvCxnSpPr>
        <xdr:spPr>
          <a:xfrm flipV="1">
            <a:off x="3903497" y="15239953"/>
            <a:ext cx="2653160" cy="12371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F2FF3654-46B9-4286-AAE3-DFA4B0B53DD5}"/>
              </a:ext>
            </a:extLst>
          </xdr:cNvPr>
          <xdr:cNvCxnSpPr/>
        </xdr:nvCxnSpPr>
        <xdr:spPr>
          <a:xfrm flipH="1" flipV="1">
            <a:off x="5114925" y="15563469"/>
            <a:ext cx="174375" cy="373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B33D0071-66EF-44B0-990E-3D84C1544817}"/>
              </a:ext>
            </a:extLst>
          </xdr:cNvPr>
          <xdr:cNvCxnSpPr/>
        </xdr:nvCxnSpPr>
        <xdr:spPr>
          <a:xfrm flipH="1">
            <a:off x="5229225" y="15778163"/>
            <a:ext cx="3810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B0A4DC62-340F-4132-8310-9B20D66049BC}"/>
              </a:ext>
            </a:extLst>
          </xdr:cNvPr>
          <xdr:cNvCxnSpPr/>
        </xdr:nvCxnSpPr>
        <xdr:spPr>
          <a:xfrm flipH="1" flipV="1">
            <a:off x="6334125" y="14987206"/>
            <a:ext cx="174375" cy="373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7697B2ED-2A73-4303-B86A-3C30FF7D5891}"/>
              </a:ext>
            </a:extLst>
          </xdr:cNvPr>
          <xdr:cNvCxnSpPr/>
        </xdr:nvCxnSpPr>
        <xdr:spPr>
          <a:xfrm flipH="1">
            <a:off x="6448425" y="15201900"/>
            <a:ext cx="3810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2A5027EE-397A-45A1-81A3-953C28F8B3FA}"/>
              </a:ext>
            </a:extLst>
          </xdr:cNvPr>
          <xdr:cNvCxnSpPr/>
        </xdr:nvCxnSpPr>
        <xdr:spPr>
          <a:xfrm flipH="1" flipV="1">
            <a:off x="3838575" y="16158781"/>
            <a:ext cx="174375" cy="373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4DD2BBFA-C390-4E6F-96D6-25A3706C8EA5}"/>
              </a:ext>
            </a:extLst>
          </xdr:cNvPr>
          <xdr:cNvCxnSpPr/>
        </xdr:nvCxnSpPr>
        <xdr:spPr>
          <a:xfrm flipH="1">
            <a:off x="3952875" y="16373475"/>
            <a:ext cx="38100" cy="1428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2" name="Arc 201">
            <a:extLst>
              <a:ext uri="{FF2B5EF4-FFF2-40B4-BE49-F238E27FC236}">
                <a16:creationId xmlns:a16="http://schemas.microsoft.com/office/drawing/2014/main" id="{A1191C51-1BD8-4C7D-AFA9-EADA19C67D84}"/>
              </a:ext>
            </a:extLst>
          </xdr:cNvPr>
          <xdr:cNvSpPr/>
        </xdr:nvSpPr>
        <xdr:spPr>
          <a:xfrm rot="16485819">
            <a:off x="3657600" y="15882938"/>
            <a:ext cx="295274" cy="295274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" name="Arc 202">
            <a:extLst>
              <a:ext uri="{FF2B5EF4-FFF2-40B4-BE49-F238E27FC236}">
                <a16:creationId xmlns:a16="http://schemas.microsoft.com/office/drawing/2014/main" id="{789A35A0-27F8-4F92-A1F9-F2DD0CBA5262}"/>
              </a:ext>
            </a:extLst>
          </xdr:cNvPr>
          <xdr:cNvSpPr/>
        </xdr:nvSpPr>
        <xdr:spPr>
          <a:xfrm rot="21447410">
            <a:off x="3639548" y="15841074"/>
            <a:ext cx="379002" cy="379002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976D9A47-C1F4-4564-B4A7-61E8B707583C}"/>
              </a:ext>
            </a:extLst>
          </xdr:cNvPr>
          <xdr:cNvCxnSpPr/>
        </xdr:nvCxnSpPr>
        <xdr:spPr>
          <a:xfrm>
            <a:off x="5734050" y="15135225"/>
            <a:ext cx="5715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ED6ADB1F-2BCF-40B8-8F7C-1486A7B412EF}"/>
              </a:ext>
            </a:extLst>
          </xdr:cNvPr>
          <xdr:cNvCxnSpPr/>
        </xdr:nvCxnSpPr>
        <xdr:spPr>
          <a:xfrm>
            <a:off x="5667375" y="15163800"/>
            <a:ext cx="57150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D8C047DB-A08A-4369-A3F4-C9074C7F58F0}"/>
              </a:ext>
            </a:extLst>
          </xdr:cNvPr>
          <xdr:cNvCxnSpPr/>
        </xdr:nvCxnSpPr>
        <xdr:spPr>
          <a:xfrm flipH="1">
            <a:off x="4200525" y="13344525"/>
            <a:ext cx="552000" cy="161774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A1F0527B-BD92-42EA-BB81-D09D936F0432}"/>
              </a:ext>
            </a:extLst>
          </xdr:cNvPr>
          <xdr:cNvCxnSpPr/>
        </xdr:nvCxnSpPr>
        <xdr:spPr>
          <a:xfrm flipH="1">
            <a:off x="4238625" y="13363575"/>
            <a:ext cx="552000" cy="1617743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863AC272-25AC-4F06-B747-CFA8BA54A578}"/>
              </a:ext>
            </a:extLst>
          </xdr:cNvPr>
          <xdr:cNvCxnSpPr/>
        </xdr:nvCxnSpPr>
        <xdr:spPr>
          <a:xfrm>
            <a:off x="533400" y="16097250"/>
            <a:ext cx="7686675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5402F645-108C-4F6C-9CCE-2A9099A8B7A4}"/>
              </a:ext>
            </a:extLst>
          </xdr:cNvPr>
          <xdr:cNvCxnSpPr/>
        </xdr:nvCxnSpPr>
        <xdr:spPr>
          <a:xfrm>
            <a:off x="6353175" y="14944725"/>
            <a:ext cx="16668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6C3F75FC-05B3-46DB-9353-618DF2271B5E}"/>
              </a:ext>
            </a:extLst>
          </xdr:cNvPr>
          <xdr:cNvCxnSpPr/>
        </xdr:nvCxnSpPr>
        <xdr:spPr>
          <a:xfrm>
            <a:off x="7934325" y="14873288"/>
            <a:ext cx="0" cy="13049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5DF83B28-CEBC-4CE4-8547-A0070AF88BFF}"/>
              </a:ext>
            </a:extLst>
          </xdr:cNvPr>
          <xdr:cNvCxnSpPr/>
        </xdr:nvCxnSpPr>
        <xdr:spPr>
          <a:xfrm flipH="1">
            <a:off x="7881938" y="14901862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1BBFE2A1-865C-40DD-B4C3-983461675D84}"/>
              </a:ext>
            </a:extLst>
          </xdr:cNvPr>
          <xdr:cNvCxnSpPr/>
        </xdr:nvCxnSpPr>
        <xdr:spPr>
          <a:xfrm flipH="1">
            <a:off x="7881938" y="16049625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D45853C3-8EFD-458F-A0CC-F7D8DDED08D0}"/>
              </a:ext>
            </a:extLst>
          </xdr:cNvPr>
          <xdr:cNvCxnSpPr/>
        </xdr:nvCxnSpPr>
        <xdr:spPr>
          <a:xfrm>
            <a:off x="7448550" y="15430500"/>
            <a:ext cx="0" cy="7524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8B99FA7E-DD25-4ADE-9F59-63FEDB91E231}"/>
              </a:ext>
            </a:extLst>
          </xdr:cNvPr>
          <xdr:cNvCxnSpPr/>
        </xdr:nvCxnSpPr>
        <xdr:spPr>
          <a:xfrm>
            <a:off x="5143500" y="15511462"/>
            <a:ext cx="24003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8A4643A3-8381-4C75-B643-A424F29C898E}"/>
              </a:ext>
            </a:extLst>
          </xdr:cNvPr>
          <xdr:cNvCxnSpPr/>
        </xdr:nvCxnSpPr>
        <xdr:spPr>
          <a:xfrm flipH="1">
            <a:off x="7396164" y="1546860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7D6213DD-B576-4BCE-B607-008E8F629006}"/>
              </a:ext>
            </a:extLst>
          </xdr:cNvPr>
          <xdr:cNvCxnSpPr/>
        </xdr:nvCxnSpPr>
        <xdr:spPr>
          <a:xfrm flipH="1">
            <a:off x="7396164" y="1605438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4FC83843-4482-4B52-B5F2-B2F4FD054DFB}"/>
              </a:ext>
            </a:extLst>
          </xdr:cNvPr>
          <xdr:cNvCxnSpPr/>
        </xdr:nvCxnSpPr>
        <xdr:spPr>
          <a:xfrm flipV="1">
            <a:off x="971554" y="15449551"/>
            <a:ext cx="0" cy="7238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297CB85B-E422-4086-B546-87EA0568A88E}"/>
              </a:ext>
            </a:extLst>
          </xdr:cNvPr>
          <xdr:cNvCxnSpPr/>
        </xdr:nvCxnSpPr>
        <xdr:spPr>
          <a:xfrm flipH="1">
            <a:off x="900113" y="15511463"/>
            <a:ext cx="16097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FF7EEC84-2A96-4566-A3AB-56B77F8DBA6F}"/>
              </a:ext>
            </a:extLst>
          </xdr:cNvPr>
          <xdr:cNvCxnSpPr/>
        </xdr:nvCxnSpPr>
        <xdr:spPr>
          <a:xfrm flipH="1">
            <a:off x="919162" y="15468600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FCE27424-CFD5-4EEB-B16B-4150EA29EBA6}"/>
              </a:ext>
            </a:extLst>
          </xdr:cNvPr>
          <xdr:cNvCxnSpPr/>
        </xdr:nvCxnSpPr>
        <xdr:spPr>
          <a:xfrm flipH="1">
            <a:off x="919161" y="16049624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AEC1B832-240E-4FF5-9116-A9590D1354BA}"/>
              </a:ext>
            </a:extLst>
          </xdr:cNvPr>
          <xdr:cNvCxnSpPr/>
        </xdr:nvCxnSpPr>
        <xdr:spPr>
          <a:xfrm flipV="1">
            <a:off x="647704" y="14873289"/>
            <a:ext cx="0" cy="130968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0C48EEA7-A9C5-4790-8621-CAD855303D50}"/>
              </a:ext>
            </a:extLst>
          </xdr:cNvPr>
          <xdr:cNvCxnSpPr/>
        </xdr:nvCxnSpPr>
        <xdr:spPr>
          <a:xfrm flipH="1">
            <a:off x="576263" y="14935200"/>
            <a:ext cx="6810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1A450F20-D0E7-486D-BA06-DE17E8820CFE}"/>
              </a:ext>
            </a:extLst>
          </xdr:cNvPr>
          <xdr:cNvCxnSpPr/>
        </xdr:nvCxnSpPr>
        <xdr:spPr>
          <a:xfrm flipH="1">
            <a:off x="595312" y="14892337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93FB361E-7B96-4E93-9F2B-43207DB3FD63}"/>
              </a:ext>
            </a:extLst>
          </xdr:cNvPr>
          <xdr:cNvCxnSpPr/>
        </xdr:nvCxnSpPr>
        <xdr:spPr>
          <a:xfrm flipH="1">
            <a:off x="600074" y="16049623"/>
            <a:ext cx="10001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" name="Arc 224">
            <a:extLst>
              <a:ext uri="{FF2B5EF4-FFF2-40B4-BE49-F238E27FC236}">
                <a16:creationId xmlns:a16="http://schemas.microsoft.com/office/drawing/2014/main" id="{9B76EAD7-1714-4300-8814-22EB5136AB9E}"/>
              </a:ext>
            </a:extLst>
          </xdr:cNvPr>
          <xdr:cNvSpPr/>
        </xdr:nvSpPr>
        <xdr:spPr>
          <a:xfrm rot="1943933">
            <a:off x="4005263" y="15935324"/>
            <a:ext cx="219076" cy="219076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6" name="Arc 225">
            <a:extLst>
              <a:ext uri="{FF2B5EF4-FFF2-40B4-BE49-F238E27FC236}">
                <a16:creationId xmlns:a16="http://schemas.microsoft.com/office/drawing/2014/main" id="{4FB4DD67-3AB0-421C-A08D-C32BC3A16D53}"/>
              </a:ext>
            </a:extLst>
          </xdr:cNvPr>
          <xdr:cNvSpPr/>
        </xdr:nvSpPr>
        <xdr:spPr>
          <a:xfrm rot="14117281">
            <a:off x="3429000" y="15925799"/>
            <a:ext cx="219076" cy="219076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89C864F2-545D-495D-A3F1-37EEF2A5B3D3}"/>
              </a:ext>
            </a:extLst>
          </xdr:cNvPr>
          <xdr:cNvCxnSpPr/>
        </xdr:nvCxnSpPr>
        <xdr:spPr>
          <a:xfrm>
            <a:off x="1328738" y="14968538"/>
            <a:ext cx="0" cy="2286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EB3233E4-0A91-46A0-9D15-76B50FB7AA74}"/>
              </a:ext>
            </a:extLst>
          </xdr:cNvPr>
          <xdr:cNvCxnSpPr/>
        </xdr:nvCxnSpPr>
        <xdr:spPr>
          <a:xfrm>
            <a:off x="1257300" y="16878300"/>
            <a:ext cx="5143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F4378941-65E8-426E-B8A2-295109966757}"/>
              </a:ext>
            </a:extLst>
          </xdr:cNvPr>
          <xdr:cNvCxnSpPr/>
        </xdr:nvCxnSpPr>
        <xdr:spPr>
          <a:xfrm flipH="1">
            <a:off x="1271588" y="16825912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94C3662F-6E62-4948-83A5-B54E0DA21730}"/>
              </a:ext>
            </a:extLst>
          </xdr:cNvPr>
          <xdr:cNvCxnSpPr/>
        </xdr:nvCxnSpPr>
        <xdr:spPr>
          <a:xfrm>
            <a:off x="2547938" y="15544800"/>
            <a:ext cx="0" cy="14144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5A43C724-0138-4821-BEC0-5ADA11F75527}"/>
              </a:ext>
            </a:extLst>
          </xdr:cNvPr>
          <xdr:cNvCxnSpPr/>
        </xdr:nvCxnSpPr>
        <xdr:spPr>
          <a:xfrm flipH="1">
            <a:off x="2490788" y="16830671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50898D4E-B50E-4A2B-A121-E65FB2B38679}"/>
              </a:ext>
            </a:extLst>
          </xdr:cNvPr>
          <xdr:cNvCxnSpPr/>
        </xdr:nvCxnSpPr>
        <xdr:spPr>
          <a:xfrm>
            <a:off x="3819525" y="16406813"/>
            <a:ext cx="0" cy="5476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D1ADE61C-4D8B-4C02-A79A-8ED0F18C055A}"/>
              </a:ext>
            </a:extLst>
          </xdr:cNvPr>
          <xdr:cNvCxnSpPr/>
        </xdr:nvCxnSpPr>
        <xdr:spPr>
          <a:xfrm flipH="1">
            <a:off x="3762375" y="16825910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2BB28E42-E1C9-4366-B6ED-9BA69179DA95}"/>
              </a:ext>
            </a:extLst>
          </xdr:cNvPr>
          <xdr:cNvCxnSpPr/>
        </xdr:nvCxnSpPr>
        <xdr:spPr>
          <a:xfrm>
            <a:off x="5100638" y="15540037"/>
            <a:ext cx="0" cy="14144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A33E1EB5-2606-4B59-940B-3060947EAA03}"/>
              </a:ext>
            </a:extLst>
          </xdr:cNvPr>
          <xdr:cNvCxnSpPr/>
        </xdr:nvCxnSpPr>
        <xdr:spPr>
          <a:xfrm flipH="1">
            <a:off x="5043488" y="16825908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AC718BC9-6E19-4816-AC63-B213288ED1E8}"/>
              </a:ext>
            </a:extLst>
          </xdr:cNvPr>
          <xdr:cNvCxnSpPr/>
        </xdr:nvCxnSpPr>
        <xdr:spPr>
          <a:xfrm>
            <a:off x="6315075" y="14973298"/>
            <a:ext cx="0" cy="22764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DFCEC18A-4EB3-485D-BE3F-88246189D29F}"/>
              </a:ext>
            </a:extLst>
          </xdr:cNvPr>
          <xdr:cNvCxnSpPr/>
        </xdr:nvCxnSpPr>
        <xdr:spPr>
          <a:xfrm flipH="1">
            <a:off x="6257925" y="16830672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183057E8-A218-4297-A0DB-AB33E5B60B5F}"/>
              </a:ext>
            </a:extLst>
          </xdr:cNvPr>
          <xdr:cNvCxnSpPr/>
        </xdr:nvCxnSpPr>
        <xdr:spPr>
          <a:xfrm>
            <a:off x="1262063" y="17164050"/>
            <a:ext cx="5143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9306D72A-C2DE-4054-B991-8142A03EC9F2}"/>
              </a:ext>
            </a:extLst>
          </xdr:cNvPr>
          <xdr:cNvCxnSpPr/>
        </xdr:nvCxnSpPr>
        <xdr:spPr>
          <a:xfrm flipH="1">
            <a:off x="1276351" y="17111662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F7085996-4E4A-4794-8B30-A87D4C7B28AF}"/>
              </a:ext>
            </a:extLst>
          </xdr:cNvPr>
          <xdr:cNvCxnSpPr/>
        </xdr:nvCxnSpPr>
        <xdr:spPr>
          <a:xfrm flipH="1">
            <a:off x="6262688" y="17116422"/>
            <a:ext cx="109538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6B6BF023-4FF6-4AF4-89AD-4E8F20D91AA5}"/>
              </a:ext>
            </a:extLst>
          </xdr:cNvPr>
          <xdr:cNvCxnSpPr/>
        </xdr:nvCxnSpPr>
        <xdr:spPr>
          <a:xfrm flipH="1">
            <a:off x="5638801" y="13466169"/>
            <a:ext cx="295274" cy="36620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949E7A7C-47DA-42AD-B8F9-09915C2BDD69}"/>
              </a:ext>
            </a:extLst>
          </xdr:cNvPr>
          <xdr:cNvCxnSpPr/>
        </xdr:nvCxnSpPr>
        <xdr:spPr>
          <a:xfrm flipH="1">
            <a:off x="6105527" y="14022845"/>
            <a:ext cx="361948" cy="2843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3" name="Arc 242">
            <a:extLst>
              <a:ext uri="{FF2B5EF4-FFF2-40B4-BE49-F238E27FC236}">
                <a16:creationId xmlns:a16="http://schemas.microsoft.com/office/drawing/2014/main" id="{39C1B6F8-A830-4DDE-8C9C-9EC45B39341D}"/>
              </a:ext>
            </a:extLst>
          </xdr:cNvPr>
          <xdr:cNvSpPr/>
        </xdr:nvSpPr>
        <xdr:spPr>
          <a:xfrm>
            <a:off x="533400" y="12839700"/>
            <a:ext cx="6572250" cy="6572250"/>
          </a:xfrm>
          <a:prstGeom prst="arc">
            <a:avLst>
              <a:gd name="adj1" fmla="val 18405937"/>
              <a:gd name="adj2" fmla="val 19416939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5E29671D-7CE3-40A9-B6B4-52A2E7BCAFF7}"/>
              </a:ext>
            </a:extLst>
          </xdr:cNvPr>
          <xdr:cNvCxnSpPr/>
        </xdr:nvCxnSpPr>
        <xdr:spPr>
          <a:xfrm>
            <a:off x="5867400" y="13477875"/>
            <a:ext cx="0" cy="1619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C5BAF91D-C4BB-4877-AE64-F0E1193D0B2F}"/>
              </a:ext>
            </a:extLst>
          </xdr:cNvPr>
          <xdr:cNvCxnSpPr/>
        </xdr:nvCxnSpPr>
        <xdr:spPr>
          <a:xfrm>
            <a:off x="6391275" y="14001750"/>
            <a:ext cx="0" cy="1619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" name="Arc 245">
            <a:extLst>
              <a:ext uri="{FF2B5EF4-FFF2-40B4-BE49-F238E27FC236}">
                <a16:creationId xmlns:a16="http://schemas.microsoft.com/office/drawing/2014/main" id="{512D065E-AD03-4B22-95A1-B32B93FC759E}"/>
              </a:ext>
            </a:extLst>
          </xdr:cNvPr>
          <xdr:cNvSpPr/>
        </xdr:nvSpPr>
        <xdr:spPr>
          <a:xfrm>
            <a:off x="2686050" y="14992350"/>
            <a:ext cx="2286000" cy="2286000"/>
          </a:xfrm>
          <a:prstGeom prst="arc">
            <a:avLst>
              <a:gd name="adj1" fmla="val 18148334"/>
              <a:gd name="adj2" fmla="val 19553267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66C98795-9D16-4B0C-B4E2-C44DD109F384}"/>
              </a:ext>
            </a:extLst>
          </xdr:cNvPr>
          <xdr:cNvCxnSpPr/>
        </xdr:nvCxnSpPr>
        <xdr:spPr>
          <a:xfrm flipH="1">
            <a:off x="4459507" y="15097125"/>
            <a:ext cx="161281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91F419AE-F0E7-4523-97A9-C9A0F7F96B45}"/>
              </a:ext>
            </a:extLst>
          </xdr:cNvPr>
          <xdr:cNvCxnSpPr/>
        </xdr:nvCxnSpPr>
        <xdr:spPr>
          <a:xfrm flipH="1">
            <a:off x="4642318" y="15278100"/>
            <a:ext cx="230333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5E496EDE-BC4C-4D32-A3E9-D7B4D1C1FB23}"/>
              </a:ext>
            </a:extLst>
          </xdr:cNvPr>
          <xdr:cNvCxnSpPr/>
        </xdr:nvCxnSpPr>
        <xdr:spPr>
          <a:xfrm>
            <a:off x="4514850" y="15135225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2E16BB54-9C91-4020-B9E4-72E09A87B0D6}"/>
              </a:ext>
            </a:extLst>
          </xdr:cNvPr>
          <xdr:cNvCxnSpPr/>
        </xdr:nvCxnSpPr>
        <xdr:spPr>
          <a:xfrm>
            <a:off x="4705350" y="15325725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C54A-98DA-4DDB-975F-1C1AB0E6983F}">
  <sheetPr codeName="Sheet1">
    <tabColor rgb="FFFFC000"/>
  </sheetPr>
  <dimension ref="B1:BR199"/>
  <sheetViews>
    <sheetView showGridLines="0" tabSelected="1" zoomScaleNormal="100" workbookViewId="0">
      <selection activeCell="AL9" sqref="AL9"/>
    </sheetView>
  </sheetViews>
  <sheetFormatPr defaultRowHeight="11.25"/>
  <cols>
    <col min="1" max="796" width="2.83203125" style="1" customWidth="1"/>
    <col min="797" max="16384" width="9.33203125" style="1"/>
  </cols>
  <sheetData>
    <row r="1" spans="2:68" ht="12" thickBot="1"/>
    <row r="2" spans="2:68" ht="44.25" customHeight="1">
      <c r="B2" s="46" t="s">
        <v>28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8"/>
    </row>
    <row r="3" spans="2:68">
      <c r="B3" s="2"/>
      <c r="C3" s="24"/>
      <c r="D3" s="24"/>
      <c r="G3" s="24"/>
      <c r="H3" s="24"/>
      <c r="J3" s="24"/>
      <c r="K3" s="24"/>
      <c r="O3" s="24"/>
      <c r="P3" s="24"/>
      <c r="Q3" s="24"/>
      <c r="R3" s="24"/>
      <c r="S3" s="3" t="s">
        <v>8</v>
      </c>
      <c r="T3" s="24"/>
      <c r="U3" s="24"/>
      <c r="V3" s="24"/>
      <c r="W3" s="24"/>
      <c r="X3" s="24"/>
      <c r="Y3" s="24"/>
      <c r="AA3" s="24"/>
      <c r="AB3" s="24"/>
      <c r="AC3" s="24"/>
      <c r="AD3" s="24"/>
      <c r="AE3" s="24"/>
      <c r="AF3" s="24"/>
      <c r="AG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4"/>
    </row>
    <row r="4" spans="2:68">
      <c r="B4" s="8"/>
      <c r="BB4" s="9"/>
    </row>
    <row r="5" spans="2:68">
      <c r="B5" s="8"/>
      <c r="BB5" s="9"/>
    </row>
    <row r="6" spans="2:68">
      <c r="B6" s="8"/>
      <c r="Z6" s="1">
        <f>+K73</f>
        <v>9</v>
      </c>
      <c r="BB6" s="9"/>
    </row>
    <row r="7" spans="2:68" ht="11.25" customHeight="1">
      <c r="B7" s="8"/>
      <c r="BB7" s="9"/>
      <c r="BF7" s="56" t="s">
        <v>29</v>
      </c>
      <c r="BG7" s="57"/>
      <c r="BH7" s="57"/>
      <c r="BI7" s="57"/>
      <c r="BJ7" s="57"/>
      <c r="BK7" s="57"/>
      <c r="BL7" s="57"/>
      <c r="BM7" s="57"/>
      <c r="BN7" s="57"/>
      <c r="BO7" s="57"/>
      <c r="BP7" s="58"/>
    </row>
    <row r="8" spans="2:68">
      <c r="B8" s="8"/>
      <c r="X8" s="1">
        <f>+Z6-1</f>
        <v>8</v>
      </c>
      <c r="BB8" s="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1"/>
    </row>
    <row r="9" spans="2:68">
      <c r="B9" s="8"/>
      <c r="BB9" s="9"/>
      <c r="BF9" s="59"/>
      <c r="BG9" s="60"/>
      <c r="BH9" s="60"/>
      <c r="BI9" s="60"/>
      <c r="BJ9" s="60"/>
      <c r="BK9" s="60"/>
      <c r="BL9" s="60"/>
      <c r="BM9" s="60"/>
      <c r="BN9" s="60"/>
      <c r="BO9" s="60"/>
      <c r="BP9" s="61"/>
    </row>
    <row r="10" spans="2:68">
      <c r="B10" s="8"/>
      <c r="V10" s="1">
        <f>+X8-1</f>
        <v>7</v>
      </c>
      <c r="BB10" s="9"/>
      <c r="BF10" s="59"/>
      <c r="BG10" s="60"/>
      <c r="BH10" s="60"/>
      <c r="BI10" s="60"/>
      <c r="BJ10" s="60"/>
      <c r="BK10" s="60"/>
      <c r="BL10" s="60"/>
      <c r="BM10" s="60"/>
      <c r="BN10" s="60"/>
      <c r="BO10" s="60"/>
      <c r="BP10" s="61"/>
    </row>
    <row r="11" spans="2:68">
      <c r="B11" s="8"/>
      <c r="BB11" s="9"/>
      <c r="BF11" s="59"/>
      <c r="BG11" s="60"/>
      <c r="BH11" s="60"/>
      <c r="BI11" s="60"/>
      <c r="BJ11" s="60"/>
      <c r="BK11" s="60"/>
      <c r="BL11" s="60"/>
      <c r="BM11" s="60"/>
      <c r="BN11" s="60"/>
      <c r="BO11" s="60"/>
      <c r="BP11" s="61"/>
    </row>
    <row r="12" spans="2:68">
      <c r="B12" s="8"/>
      <c r="T12" s="1" t="s">
        <v>15</v>
      </c>
      <c r="BB12" s="9"/>
      <c r="BF12" s="59"/>
      <c r="BG12" s="60"/>
      <c r="BH12" s="60"/>
      <c r="BI12" s="60"/>
      <c r="BJ12" s="60"/>
      <c r="BK12" s="60"/>
      <c r="BL12" s="60"/>
      <c r="BM12" s="60"/>
      <c r="BN12" s="60"/>
      <c r="BO12" s="60"/>
      <c r="BP12" s="61"/>
    </row>
    <row r="13" spans="2:68">
      <c r="B13" s="8"/>
      <c r="BB13" s="9"/>
      <c r="BF13" s="59"/>
      <c r="BG13" s="60"/>
      <c r="BH13" s="60"/>
      <c r="BI13" s="60"/>
      <c r="BJ13" s="60"/>
      <c r="BK13" s="60"/>
      <c r="BL13" s="60"/>
      <c r="BM13" s="60"/>
      <c r="BN13" s="60"/>
      <c r="BO13" s="60"/>
      <c r="BP13" s="61"/>
    </row>
    <row r="14" spans="2:68">
      <c r="B14" s="8"/>
      <c r="W14" s="40">
        <f>+G76</f>
        <v>30.735487701920103</v>
      </c>
      <c r="X14" s="40"/>
      <c r="Y14" s="26" t="s">
        <v>16</v>
      </c>
      <c r="AE14" s="23" t="s">
        <v>0</v>
      </c>
      <c r="BB14" s="9"/>
      <c r="BF14" s="62"/>
      <c r="BG14" s="63"/>
      <c r="BH14" s="63"/>
      <c r="BI14" s="63"/>
      <c r="BJ14" s="63"/>
      <c r="BK14" s="63"/>
      <c r="BL14" s="63"/>
      <c r="BM14" s="63"/>
      <c r="BN14" s="63"/>
      <c r="BO14" s="63"/>
      <c r="BP14" s="64"/>
    </row>
    <row r="15" spans="2:68">
      <c r="B15" s="8"/>
      <c r="AE15" s="43">
        <v>1.54</v>
      </c>
      <c r="BB15" s="9"/>
    </row>
    <row r="16" spans="2:68">
      <c r="B16" s="8"/>
      <c r="AE16" s="43"/>
      <c r="BB16" s="9"/>
    </row>
    <row r="17" spans="2:54">
      <c r="B17" s="8"/>
      <c r="H17" s="1" t="s">
        <v>2</v>
      </c>
      <c r="J17" s="40">
        <f>+H71*1000</f>
        <v>287.77777777777777</v>
      </c>
      <c r="K17" s="40"/>
      <c r="L17" s="40"/>
      <c r="M17" s="1" t="s">
        <v>4</v>
      </c>
      <c r="AE17" s="43"/>
      <c r="BB17" s="9"/>
    </row>
    <row r="18" spans="2:54">
      <c r="B18" s="8"/>
      <c r="N18" s="1" t="s">
        <v>15</v>
      </c>
      <c r="AE18" s="39" t="s">
        <v>19</v>
      </c>
      <c r="BB18" s="9"/>
    </row>
    <row r="19" spans="2:54">
      <c r="B19" s="8"/>
      <c r="E19" s="40" t="s">
        <v>5</v>
      </c>
      <c r="F19" s="40"/>
      <c r="G19" s="40">
        <f>+H72*1000</f>
        <v>171.11111111111111</v>
      </c>
      <c r="H19" s="40"/>
      <c r="I19" s="40"/>
      <c r="J19" s="65" t="s">
        <v>4</v>
      </c>
      <c r="K19" s="65"/>
      <c r="Q19" s="44">
        <v>0.18</v>
      </c>
      <c r="R19" s="44"/>
      <c r="S19" s="1" t="s">
        <v>0</v>
      </c>
      <c r="AE19" s="39"/>
      <c r="BB19" s="9"/>
    </row>
    <row r="20" spans="2:54">
      <c r="B20" s="8"/>
      <c r="E20" s="40"/>
      <c r="F20" s="40"/>
      <c r="G20" s="40"/>
      <c r="H20" s="40"/>
      <c r="I20" s="40"/>
      <c r="J20" s="65"/>
      <c r="K20" s="65"/>
      <c r="L20" s="1">
        <v>3</v>
      </c>
      <c r="BB20" s="9"/>
    </row>
    <row r="21" spans="2:54">
      <c r="B21" s="8"/>
      <c r="BB21" s="9"/>
    </row>
    <row r="22" spans="2:54">
      <c r="B22" s="8"/>
      <c r="J22" s="1">
        <v>2</v>
      </c>
      <c r="BB22" s="9"/>
    </row>
    <row r="23" spans="2:54">
      <c r="B23" s="8"/>
      <c r="BB23" s="9"/>
    </row>
    <row r="24" spans="2:54">
      <c r="B24" s="8"/>
      <c r="H24" s="1">
        <v>1</v>
      </c>
      <c r="BB24" s="9"/>
    </row>
    <row r="25" spans="2:54">
      <c r="B25" s="8"/>
      <c r="BB25" s="9"/>
    </row>
    <row r="26" spans="2:54">
      <c r="B26" s="8"/>
      <c r="BB26" s="9"/>
    </row>
    <row r="27" spans="2:54">
      <c r="B27" s="8"/>
      <c r="BB27" s="9"/>
    </row>
    <row r="28" spans="2:54">
      <c r="B28" s="8"/>
      <c r="BB28" s="9"/>
    </row>
    <row r="29" spans="2:54">
      <c r="B29" s="8"/>
      <c r="BB29" s="9"/>
    </row>
    <row r="30" spans="2:54">
      <c r="B30" s="8"/>
      <c r="P30" s="1" t="s">
        <v>12</v>
      </c>
      <c r="Q30" s="40">
        <f>+H71*K73</f>
        <v>2.5900000000000003</v>
      </c>
      <c r="R30" s="40"/>
      <c r="S30" s="1" t="s">
        <v>0</v>
      </c>
      <c r="AH30" s="1" t="s">
        <v>18</v>
      </c>
      <c r="BB30" s="9"/>
    </row>
    <row r="31" spans="2:54">
      <c r="B31" s="8"/>
      <c r="BB31" s="9"/>
    </row>
    <row r="32" spans="2:54">
      <c r="B32" s="8"/>
      <c r="BB32" s="9"/>
    </row>
    <row r="33" spans="2:54">
      <c r="B33" s="8"/>
      <c r="BB33" s="9"/>
    </row>
    <row r="34" spans="2:54">
      <c r="B34" s="8"/>
      <c r="BB34" s="9"/>
    </row>
    <row r="35" spans="2:54">
      <c r="B35" s="8"/>
      <c r="BB35" s="9"/>
    </row>
    <row r="36" spans="2:54">
      <c r="B36" s="8"/>
      <c r="AH36" s="23" t="s">
        <v>0</v>
      </c>
      <c r="BB36" s="9"/>
    </row>
    <row r="37" spans="2:54">
      <c r="B37" s="8"/>
      <c r="AH37" s="43">
        <v>1.2</v>
      </c>
      <c r="BB37" s="9"/>
    </row>
    <row r="38" spans="2:54">
      <c r="B38" s="8"/>
      <c r="AH38" s="43"/>
      <c r="BB38" s="9"/>
    </row>
    <row r="39" spans="2:54">
      <c r="B39" s="8"/>
      <c r="AH39" s="43"/>
      <c r="BB39" s="9"/>
    </row>
    <row r="40" spans="2:54">
      <c r="B40" s="8"/>
      <c r="AH40" s="39" t="s">
        <v>17</v>
      </c>
      <c r="BB40" s="9"/>
    </row>
    <row r="41" spans="2:54">
      <c r="B41" s="8"/>
      <c r="AH41" s="39"/>
      <c r="BB41" s="9"/>
    </row>
    <row r="42" spans="2:54">
      <c r="B42" s="8"/>
      <c r="BB42" s="9"/>
    </row>
    <row r="43" spans="2:54">
      <c r="B43" s="8"/>
      <c r="BB43" s="9"/>
    </row>
    <row r="44" spans="2:54">
      <c r="B44" s="8"/>
      <c r="BB44" s="9"/>
    </row>
    <row r="45" spans="2:54">
      <c r="B45" s="8"/>
      <c r="BB45" s="9"/>
    </row>
    <row r="46" spans="2:54">
      <c r="B46" s="8"/>
      <c r="O46" s="22"/>
      <c r="P46" s="22"/>
      <c r="Q46" s="22"/>
      <c r="BB46" s="9"/>
    </row>
    <row r="47" spans="2:54" ht="12" thickBot="1">
      <c r="B47" s="8"/>
      <c r="F47" s="54" t="s">
        <v>30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 t="s">
        <v>31</v>
      </c>
      <c r="T47" s="54"/>
      <c r="U47" s="54"/>
      <c r="V47" s="54"/>
      <c r="W47" s="54"/>
      <c r="X47" s="54"/>
      <c r="Y47" s="54"/>
      <c r="Z47" s="54"/>
      <c r="AA47" s="54" t="s">
        <v>32</v>
      </c>
      <c r="AB47" s="54"/>
      <c r="AC47" s="54"/>
      <c r="AD47" s="54"/>
      <c r="AE47" s="54"/>
      <c r="AF47" s="54"/>
      <c r="AG47" s="54"/>
      <c r="AH47" s="54"/>
      <c r="AI47" s="7"/>
      <c r="AJ47" s="7"/>
      <c r="AK47" s="7"/>
      <c r="BB47" s="9"/>
    </row>
    <row r="48" spans="2:54" ht="12" thickTop="1">
      <c r="B48" s="8"/>
      <c r="F48" s="55" t="s">
        <v>33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2" t="s">
        <v>34</v>
      </c>
      <c r="T48" s="52"/>
      <c r="U48" s="52"/>
      <c r="V48" s="52"/>
      <c r="W48" s="52"/>
      <c r="X48" s="52"/>
      <c r="Y48" s="52"/>
      <c r="Z48" s="52"/>
      <c r="AA48" s="52" t="s">
        <v>35</v>
      </c>
      <c r="AB48" s="52"/>
      <c r="AC48" s="52"/>
      <c r="AD48" s="52"/>
      <c r="AE48" s="52"/>
      <c r="AF48" s="52"/>
      <c r="AG48" s="52"/>
      <c r="AH48" s="52"/>
      <c r="AI48" s="7"/>
      <c r="AJ48" s="7"/>
      <c r="AK48" s="7"/>
      <c r="BB48" s="9"/>
    </row>
    <row r="49" spans="2:54">
      <c r="B49" s="8"/>
      <c r="F49" s="53" t="s">
        <v>36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1" t="s">
        <v>37</v>
      </c>
      <c r="T49" s="51"/>
      <c r="U49" s="51"/>
      <c r="V49" s="51"/>
      <c r="W49" s="51"/>
      <c r="X49" s="51"/>
      <c r="Y49" s="51"/>
      <c r="Z49" s="51"/>
      <c r="AA49" s="51" t="s">
        <v>38</v>
      </c>
      <c r="AB49" s="51"/>
      <c r="AC49" s="51"/>
      <c r="AD49" s="51"/>
      <c r="AE49" s="51"/>
      <c r="AF49" s="51"/>
      <c r="AG49" s="51"/>
      <c r="AH49" s="51"/>
      <c r="AI49" s="7"/>
      <c r="AJ49" s="7"/>
      <c r="AK49" s="7"/>
      <c r="BB49" s="9"/>
    </row>
    <row r="50" spans="2:54">
      <c r="B50" s="8"/>
      <c r="F50" s="53" t="s">
        <v>39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1" t="s">
        <v>40</v>
      </c>
      <c r="T50" s="51"/>
      <c r="U50" s="51"/>
      <c r="V50" s="51"/>
      <c r="W50" s="51"/>
      <c r="X50" s="51"/>
      <c r="Y50" s="51"/>
      <c r="Z50" s="51"/>
      <c r="AA50" s="51" t="s">
        <v>41</v>
      </c>
      <c r="AB50" s="51"/>
      <c r="AC50" s="51"/>
      <c r="AD50" s="51"/>
      <c r="AE50" s="51"/>
      <c r="AF50" s="51"/>
      <c r="AG50" s="51"/>
      <c r="AH50" s="51"/>
      <c r="AI50" s="7"/>
      <c r="AJ50" s="7"/>
      <c r="AK50" s="7"/>
      <c r="BB50" s="9"/>
    </row>
    <row r="51" spans="2:54">
      <c r="B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BB51" s="9"/>
    </row>
    <row r="52" spans="2:54">
      <c r="B52" s="8"/>
      <c r="F52" s="51" t="s">
        <v>42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 t="s">
        <v>43</v>
      </c>
      <c r="T52" s="51"/>
      <c r="U52" s="51"/>
      <c r="V52" s="51"/>
      <c r="W52" s="51"/>
      <c r="X52" s="51"/>
      <c r="Y52" s="51"/>
      <c r="Z52" s="51"/>
      <c r="AA52" s="51" t="s">
        <v>44</v>
      </c>
      <c r="AB52" s="51"/>
      <c r="AC52" s="51"/>
      <c r="AD52" s="51"/>
      <c r="AE52" s="51"/>
      <c r="AF52" s="51"/>
      <c r="AG52" s="51"/>
      <c r="AH52" s="51"/>
      <c r="AI52" s="7"/>
      <c r="AJ52" s="7"/>
      <c r="AK52" s="7"/>
      <c r="BB52" s="9"/>
    </row>
    <row r="53" spans="2:54" ht="12" thickBot="1">
      <c r="B53" s="8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 t="s">
        <v>45</v>
      </c>
      <c r="T53" s="54"/>
      <c r="U53" s="54"/>
      <c r="V53" s="54"/>
      <c r="W53" s="54" t="s">
        <v>46</v>
      </c>
      <c r="X53" s="54"/>
      <c r="Y53" s="54"/>
      <c r="Z53" s="54"/>
      <c r="AA53" s="54" t="s">
        <v>45</v>
      </c>
      <c r="AB53" s="54"/>
      <c r="AC53" s="54"/>
      <c r="AD53" s="54"/>
      <c r="AE53" s="54" t="s">
        <v>46</v>
      </c>
      <c r="AF53" s="54"/>
      <c r="AG53" s="54"/>
      <c r="AH53" s="54"/>
      <c r="AI53" s="7"/>
      <c r="AJ53" s="7"/>
      <c r="AK53" s="7"/>
      <c r="BB53" s="9"/>
    </row>
    <row r="54" spans="2:54" ht="12" thickTop="1">
      <c r="B54" s="8"/>
      <c r="F54" s="52" t="s">
        <v>47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>
        <v>220</v>
      </c>
      <c r="T54" s="52"/>
      <c r="U54" s="52"/>
      <c r="V54" s="52"/>
      <c r="W54" s="52">
        <v>210</v>
      </c>
      <c r="X54" s="52"/>
      <c r="Y54" s="52"/>
      <c r="Z54" s="52"/>
      <c r="AA54" s="52">
        <v>240</v>
      </c>
      <c r="AB54" s="52"/>
      <c r="AC54" s="52"/>
      <c r="AD54" s="52"/>
      <c r="AE54" s="52">
        <v>200</v>
      </c>
      <c r="AF54" s="52"/>
      <c r="AG54" s="52"/>
      <c r="AH54" s="52"/>
      <c r="AI54" s="7"/>
      <c r="AJ54" s="7"/>
      <c r="AK54" s="7"/>
      <c r="BB54" s="9"/>
    </row>
    <row r="55" spans="2:54">
      <c r="B55" s="8"/>
      <c r="F55" s="51" t="s">
        <v>48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>
        <v>240</v>
      </c>
      <c r="T55" s="51"/>
      <c r="U55" s="51"/>
      <c r="V55" s="51"/>
      <c r="W55" s="51">
        <v>190</v>
      </c>
      <c r="X55" s="51"/>
      <c r="Y55" s="51"/>
      <c r="Z55" s="51"/>
      <c r="AA55" s="51">
        <v>260</v>
      </c>
      <c r="AB55" s="51"/>
      <c r="AC55" s="51"/>
      <c r="AD55" s="51"/>
      <c r="AE55" s="51">
        <v>180</v>
      </c>
      <c r="AF55" s="51"/>
      <c r="AG55" s="51"/>
      <c r="AH55" s="51"/>
      <c r="AI55" s="7"/>
      <c r="AJ55" s="7"/>
      <c r="AK55" s="7"/>
      <c r="BB55" s="9"/>
    </row>
    <row r="56" spans="2:54">
      <c r="B56" s="8"/>
      <c r="F56" s="51" t="s">
        <v>49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270</v>
      </c>
      <c r="T56" s="51"/>
      <c r="U56" s="51"/>
      <c r="V56" s="51"/>
      <c r="W56" s="51">
        <v>180</v>
      </c>
      <c r="X56" s="51"/>
      <c r="Y56" s="51"/>
      <c r="Z56" s="51"/>
      <c r="AA56" s="51">
        <v>290</v>
      </c>
      <c r="AB56" s="51"/>
      <c r="AC56" s="51"/>
      <c r="AD56" s="51"/>
      <c r="AE56" s="51">
        <v>170</v>
      </c>
      <c r="AF56" s="51"/>
      <c r="AG56" s="51"/>
      <c r="AH56" s="51"/>
      <c r="AI56" s="7"/>
      <c r="AJ56" s="7"/>
      <c r="AK56" s="7"/>
      <c r="BB56" s="9"/>
    </row>
    <row r="57" spans="2:54">
      <c r="B57" s="8"/>
      <c r="F57" s="51" t="s">
        <v>50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>
        <v>290</v>
      </c>
      <c r="T57" s="51"/>
      <c r="U57" s="51"/>
      <c r="V57" s="51"/>
      <c r="W57" s="51">
        <v>170</v>
      </c>
      <c r="X57" s="51"/>
      <c r="Y57" s="51"/>
      <c r="Z57" s="51"/>
      <c r="AA57" s="51">
        <v>300</v>
      </c>
      <c r="AB57" s="51"/>
      <c r="AC57" s="51"/>
      <c r="AD57" s="51"/>
      <c r="AE57" s="51">
        <v>160</v>
      </c>
      <c r="AF57" s="51"/>
      <c r="AG57" s="51"/>
      <c r="AH57" s="51"/>
      <c r="AI57" s="7"/>
      <c r="AJ57" s="7"/>
      <c r="AK57" s="7"/>
      <c r="BB57" s="9"/>
    </row>
    <row r="58" spans="2:54">
      <c r="B58" s="8"/>
      <c r="F58" s="51" t="s">
        <v>51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>
        <v>300</v>
      </c>
      <c r="T58" s="51"/>
      <c r="U58" s="51"/>
      <c r="V58" s="51"/>
      <c r="W58" s="51">
        <v>160</v>
      </c>
      <c r="X58" s="51"/>
      <c r="Y58" s="51"/>
      <c r="Z58" s="51"/>
      <c r="AA58" s="51">
        <v>320</v>
      </c>
      <c r="AB58" s="51"/>
      <c r="AC58" s="51"/>
      <c r="AD58" s="51"/>
      <c r="AE58" s="51">
        <v>150</v>
      </c>
      <c r="AF58" s="51"/>
      <c r="AG58" s="51"/>
      <c r="AH58" s="51"/>
      <c r="AI58" s="7"/>
      <c r="AJ58" s="7"/>
      <c r="AK58" s="7"/>
      <c r="BB58" s="9"/>
    </row>
    <row r="59" spans="2:54">
      <c r="B59" s="8"/>
      <c r="F59" s="51" t="s">
        <v>52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>
        <v>300</v>
      </c>
      <c r="T59" s="51"/>
      <c r="U59" s="51"/>
      <c r="V59" s="51"/>
      <c r="W59" s="51">
        <v>150</v>
      </c>
      <c r="X59" s="51"/>
      <c r="Y59" s="51"/>
      <c r="Z59" s="51"/>
      <c r="AA59" s="51">
        <v>320</v>
      </c>
      <c r="AB59" s="51"/>
      <c r="AC59" s="51"/>
      <c r="AD59" s="51"/>
      <c r="AE59" s="51">
        <v>140</v>
      </c>
      <c r="AF59" s="51"/>
      <c r="AG59" s="51"/>
      <c r="AH59" s="51"/>
      <c r="AI59" s="7"/>
      <c r="AJ59" s="7"/>
      <c r="AK59" s="7"/>
      <c r="BB59" s="9"/>
    </row>
    <row r="60" spans="2:54">
      <c r="B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BB60" s="9"/>
    </row>
    <row r="61" spans="2:54">
      <c r="B61" s="8"/>
      <c r="F61" s="30" t="s">
        <v>53</v>
      </c>
      <c r="G61" s="30"/>
      <c r="H61" s="30"/>
      <c r="I61" s="30"/>
      <c r="J61" s="30"/>
      <c r="K61" s="30"/>
      <c r="L61" s="30"/>
      <c r="M61" s="30"/>
      <c r="N61" s="30"/>
      <c r="O61" s="3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BB61" s="9"/>
    </row>
    <row r="62" spans="2:54">
      <c r="B62" s="8"/>
      <c r="F62" s="30" t="s">
        <v>54</v>
      </c>
      <c r="G62" s="30"/>
      <c r="H62" s="30"/>
      <c r="I62" s="30"/>
      <c r="J62" s="30"/>
      <c r="K62" s="30"/>
      <c r="L62" s="30"/>
      <c r="M62" s="30"/>
      <c r="N62" s="30"/>
      <c r="O62" s="3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BB62" s="9"/>
    </row>
    <row r="63" spans="2:54">
      <c r="B63" s="8"/>
      <c r="F63" s="30" t="s">
        <v>55</v>
      </c>
      <c r="G63" s="30"/>
      <c r="H63" s="30"/>
      <c r="I63" s="30"/>
      <c r="J63" s="30"/>
      <c r="K63" s="30"/>
      <c r="L63" s="30"/>
      <c r="M63" s="30"/>
      <c r="N63" s="30"/>
      <c r="O63" s="3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BB63" s="9"/>
    </row>
    <row r="64" spans="2:54">
      <c r="B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BB64" s="9"/>
    </row>
    <row r="65" spans="2:54">
      <c r="B65" s="8"/>
      <c r="F65" s="7" t="s">
        <v>56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BB65" s="9"/>
    </row>
    <row r="66" spans="2:54">
      <c r="B66" s="8"/>
      <c r="F66" s="7" t="s">
        <v>57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BB66" s="9"/>
    </row>
    <row r="67" spans="2:54">
      <c r="B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BB67" s="9"/>
    </row>
    <row r="68" spans="2:54">
      <c r="B68" s="8"/>
      <c r="F68" s="27" t="s">
        <v>20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BB68" s="9"/>
    </row>
    <row r="69" spans="2:54">
      <c r="B69" s="8"/>
      <c r="F69" s="1" t="s">
        <v>21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BB69" s="9"/>
    </row>
    <row r="70" spans="2:54">
      <c r="B70" s="8"/>
      <c r="F70" s="1" t="s">
        <v>25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BB70" s="9"/>
    </row>
    <row r="71" spans="2:54">
      <c r="B71" s="8"/>
      <c r="F71" s="1" t="s">
        <v>2</v>
      </c>
      <c r="H71" s="40">
        <f>0.63-2*H72</f>
        <v>0.2877777777777778</v>
      </c>
      <c r="I71" s="40"/>
      <c r="J71" s="40"/>
      <c r="K71" s="1" t="s">
        <v>0</v>
      </c>
      <c r="L71" s="1" t="s">
        <v>22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BB71" s="9"/>
    </row>
    <row r="72" spans="2:54">
      <c r="B72" s="8"/>
      <c r="F72" s="1" t="s">
        <v>3</v>
      </c>
      <c r="H72" s="40">
        <f>+AE15/K73</f>
        <v>0.1711111111111111</v>
      </c>
      <c r="I72" s="40"/>
      <c r="J72" s="40"/>
      <c r="K72" s="1" t="s">
        <v>0</v>
      </c>
      <c r="L72" s="1" t="s">
        <v>24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BB72" s="9"/>
    </row>
    <row r="73" spans="2:54">
      <c r="B73" s="8"/>
      <c r="F73" s="1" t="s">
        <v>23</v>
      </c>
      <c r="K73" s="44">
        <v>9</v>
      </c>
      <c r="L73" s="44"/>
      <c r="M73" s="1" t="s">
        <v>13</v>
      </c>
      <c r="P73" s="1" t="s">
        <v>26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BB73" s="9"/>
    </row>
    <row r="74" spans="2:54">
      <c r="B74" s="8"/>
      <c r="F74" s="1">
        <v>2</v>
      </c>
      <c r="G74" s="29" t="s">
        <v>6</v>
      </c>
      <c r="H74" s="40">
        <f>+H72</f>
        <v>0.1711111111111111</v>
      </c>
      <c r="I74" s="40"/>
      <c r="J74" s="40"/>
      <c r="K74" s="29" t="s">
        <v>1</v>
      </c>
      <c r="L74" s="40">
        <f>+H71</f>
        <v>0.2877777777777778</v>
      </c>
      <c r="M74" s="40"/>
      <c r="N74" s="40"/>
      <c r="O74" s="29" t="s">
        <v>7</v>
      </c>
      <c r="P74" s="40">
        <f>+F74*H74+L74</f>
        <v>0.63</v>
      </c>
      <c r="Q74" s="40"/>
      <c r="R74" s="40"/>
      <c r="S74" s="1" t="s">
        <v>0</v>
      </c>
      <c r="U74" s="3" t="str">
        <f>IF(P74=0.63,"uygun.","uygun değil.")</f>
        <v>uygun.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BB74" s="9"/>
    </row>
    <row r="75" spans="2:54">
      <c r="B75" s="8"/>
      <c r="F75" s="7"/>
      <c r="G75" s="7"/>
      <c r="H75" s="7"/>
      <c r="I75" s="7"/>
      <c r="J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BB75" s="9"/>
    </row>
    <row r="76" spans="2:54">
      <c r="B76" s="8"/>
      <c r="F76" s="31" t="s">
        <v>58</v>
      </c>
      <c r="G76" s="49">
        <f>ATAN(AE15/Q30)*180/PI()</f>
        <v>30.735487701920103</v>
      </c>
      <c r="H76" s="49"/>
      <c r="I76" s="31" t="s">
        <v>16</v>
      </c>
      <c r="J76" s="7" t="s">
        <v>59</v>
      </c>
      <c r="K76" s="7"/>
      <c r="L76" s="7"/>
      <c r="M76" s="7"/>
      <c r="O76" s="3" t="str">
        <f>IF(AND(G76&gt;20,G76&lt;25),"yatık eğimli merdiven",IF(AND(G76&gt;=25,G76&lt;=36),"normal eğimli merdiven",IF(AND(G76&gt;36,G76&lt;45),"dik eğimli merdiven","normal değil")))</f>
        <v>normal eğimli merdiven</v>
      </c>
      <c r="P76" s="7"/>
      <c r="Q76" s="7"/>
      <c r="T76" s="7"/>
      <c r="U76" s="7"/>
      <c r="V76" s="7"/>
      <c r="AF76" s="7"/>
      <c r="BB76" s="9"/>
    </row>
    <row r="77" spans="2:54">
      <c r="B77" s="8"/>
      <c r="F77" s="49">
        <f>IF(O76="yatık eğimli merdiven",320,IF(O76="normal eğimli merdiven",260,IF(O76="dik eğimli merdiven",220,"normal değil")))</f>
        <v>260</v>
      </c>
      <c r="G77" s="49"/>
      <c r="H77" s="1" t="s">
        <v>4</v>
      </c>
      <c r="J77" s="7" t="s">
        <v>60</v>
      </c>
      <c r="K77" s="7" t="s">
        <v>45</v>
      </c>
      <c r="L77" s="7" t="s">
        <v>60</v>
      </c>
      <c r="M77" s="49">
        <f>IF(O76="yatık eğimli merdiven",360,IF(O76="normal eğimli merdiven",320,IF(O76="dik eğimli merdiven",260,"normal değil")))</f>
        <v>320</v>
      </c>
      <c r="N77" s="49"/>
      <c r="O77" s="7" t="s">
        <v>4</v>
      </c>
      <c r="R77" s="7" t="s">
        <v>61</v>
      </c>
      <c r="V77" s="7"/>
      <c r="X77" s="49">
        <f>+F77</f>
        <v>260</v>
      </c>
      <c r="Y77" s="49"/>
      <c r="Z77" s="1" t="s">
        <v>4</v>
      </c>
      <c r="AA77" s="7"/>
      <c r="AB77" s="7" t="str">
        <f>IF(X77&lt;=AC77,"&lt;","&gt;")</f>
        <v>&lt;</v>
      </c>
      <c r="AC77" s="49">
        <f>+H71*1000</f>
        <v>287.77777777777777</v>
      </c>
      <c r="AD77" s="49"/>
      <c r="AE77" s="1" t="s">
        <v>4</v>
      </c>
      <c r="AF77" s="7"/>
      <c r="AG77" s="7" t="str">
        <f>IF(AC77&lt;=AH77,"&lt;","&gt;")</f>
        <v>&lt;</v>
      </c>
      <c r="AH77" s="49">
        <f>+M77</f>
        <v>320</v>
      </c>
      <c r="AI77" s="49"/>
      <c r="AJ77" s="1" t="s">
        <v>4</v>
      </c>
      <c r="AK77" s="7"/>
      <c r="AL77" s="32" t="str">
        <f>IF(AND(X77&lt;=AC77,AC77&lt;=AH77),"uygun.","uygun değil.")</f>
        <v>uygun.</v>
      </c>
      <c r="AM77" s="33"/>
      <c r="BB77" s="9"/>
    </row>
    <row r="78" spans="2:54">
      <c r="B78" s="8"/>
      <c r="F78" s="49">
        <f>IF(O76="yatık eğimli merdiven",120,IF(O76="normal eğimli merdiven",150,IF(O76="dik eğimli merdiven",190,"normal değil")))</f>
        <v>150</v>
      </c>
      <c r="G78" s="49"/>
      <c r="H78" s="1" t="s">
        <v>4</v>
      </c>
      <c r="J78" s="7" t="s">
        <v>60</v>
      </c>
      <c r="K78" s="7" t="s">
        <v>46</v>
      </c>
      <c r="L78" s="7" t="s">
        <v>60</v>
      </c>
      <c r="M78" s="49">
        <f>IF(O76="yatık eğimli merdiven",150,IF(O76="normal eğimli merdiven",190,IF(O76="dik eğimli merdiven",220,"normal değil")))</f>
        <v>190</v>
      </c>
      <c r="N78" s="49"/>
      <c r="O78" s="7" t="s">
        <v>4</v>
      </c>
      <c r="R78" s="7" t="s">
        <v>61</v>
      </c>
      <c r="V78" s="7"/>
      <c r="X78" s="49">
        <f>+F78</f>
        <v>150</v>
      </c>
      <c r="Y78" s="49"/>
      <c r="Z78" s="1" t="s">
        <v>4</v>
      </c>
      <c r="AA78" s="7"/>
      <c r="AB78" s="7" t="str">
        <f>IF(X78&lt;=AC78,"&lt;","&gt;")</f>
        <v>&lt;</v>
      </c>
      <c r="AC78" s="49">
        <f>+H72*1000</f>
        <v>171.11111111111111</v>
      </c>
      <c r="AD78" s="49"/>
      <c r="AE78" s="1" t="s">
        <v>4</v>
      </c>
      <c r="AF78" s="7"/>
      <c r="AG78" s="7" t="str">
        <f>IF(AC78&lt;=AH78,"&lt;","&gt;")</f>
        <v>&lt;</v>
      </c>
      <c r="AH78" s="49">
        <f>+M78</f>
        <v>190</v>
      </c>
      <c r="AI78" s="49"/>
      <c r="AJ78" s="1" t="s">
        <v>4</v>
      </c>
      <c r="AK78" s="7"/>
      <c r="AL78" s="32" t="str">
        <f>IF(AND(X78&lt;=AC78,AC78&lt;=AH78),"uygun.","uygun değil.")</f>
        <v>uygun.</v>
      </c>
      <c r="AM78" s="33"/>
      <c r="BB78" s="9"/>
    </row>
    <row r="79" spans="2:54">
      <c r="B79" s="8"/>
      <c r="F79" s="33"/>
      <c r="G79" s="33"/>
      <c r="J79" s="7"/>
      <c r="K79" s="7"/>
      <c r="L79" s="7"/>
      <c r="M79" s="33"/>
      <c r="N79" s="33"/>
      <c r="O79" s="7"/>
      <c r="R79" s="7"/>
      <c r="V79" s="7"/>
      <c r="Y79" s="33"/>
      <c r="Z79" s="33"/>
      <c r="AA79" s="7"/>
      <c r="AB79" s="7"/>
      <c r="AC79" s="7"/>
      <c r="AD79" s="33"/>
      <c r="AE79" s="33"/>
      <c r="AF79" s="7"/>
      <c r="AG79" s="33"/>
      <c r="AH79" s="33"/>
      <c r="AI79" s="7"/>
      <c r="AJ79" s="7"/>
      <c r="AK79" s="7"/>
      <c r="AL79" s="33"/>
      <c r="AM79" s="33"/>
      <c r="BB79" s="9"/>
    </row>
    <row r="80" spans="2:54">
      <c r="B80" s="8"/>
      <c r="F80" s="7" t="s">
        <v>62</v>
      </c>
      <c r="G80" s="33"/>
      <c r="J80" s="7"/>
      <c r="K80" s="7"/>
      <c r="L80" s="7" t="s">
        <v>63</v>
      </c>
      <c r="M80" s="33"/>
      <c r="N80" s="33"/>
      <c r="O80" s="49">
        <f>+H71*1000</f>
        <v>287.77777777777777</v>
      </c>
      <c r="P80" s="49"/>
      <c r="Q80" s="29" t="s">
        <v>14</v>
      </c>
      <c r="R80" s="49">
        <f>+H72*1000</f>
        <v>171.11111111111111</v>
      </c>
      <c r="S80" s="49"/>
      <c r="T80" s="29" t="s">
        <v>7</v>
      </c>
      <c r="U80" s="40">
        <f>+O80-R80</f>
        <v>116.66666666666666</v>
      </c>
      <c r="V80" s="40"/>
      <c r="W80" s="1" t="s">
        <v>4</v>
      </c>
      <c r="Y80" s="33"/>
      <c r="AA80" s="7" t="s">
        <v>64</v>
      </c>
      <c r="AB80" s="7"/>
      <c r="AC80" s="7"/>
      <c r="AD80" s="33"/>
      <c r="AE80" s="33"/>
      <c r="AF80" s="7"/>
      <c r="AG80" s="33"/>
      <c r="AH80" s="33"/>
      <c r="AI80" s="7"/>
      <c r="AJ80" s="7"/>
      <c r="AK80" s="7"/>
      <c r="AL80" s="33"/>
      <c r="AM80" s="33"/>
      <c r="BB80" s="9"/>
    </row>
    <row r="81" spans="2:70">
      <c r="B81" s="8"/>
      <c r="F81" s="7" t="s">
        <v>65</v>
      </c>
      <c r="G81" s="33"/>
      <c r="J81" s="7"/>
      <c r="K81" s="7"/>
      <c r="L81" s="7" t="s">
        <v>66</v>
      </c>
      <c r="M81" s="33"/>
      <c r="N81" s="33"/>
      <c r="O81" s="49">
        <f>+O80</f>
        <v>287.77777777777777</v>
      </c>
      <c r="P81" s="49"/>
      <c r="Q81" s="29" t="s">
        <v>1</v>
      </c>
      <c r="R81" s="49">
        <f>+R80</f>
        <v>171.11111111111111</v>
      </c>
      <c r="S81" s="49"/>
      <c r="T81" s="29" t="s">
        <v>7</v>
      </c>
      <c r="U81" s="40">
        <f>+O81+R81</f>
        <v>458.88888888888891</v>
      </c>
      <c r="V81" s="40"/>
      <c r="W81" s="1" t="s">
        <v>4</v>
      </c>
      <c r="Y81" s="33"/>
      <c r="AA81" s="7" t="s">
        <v>67</v>
      </c>
      <c r="AB81" s="7"/>
      <c r="AC81" s="7"/>
      <c r="AD81" s="33"/>
      <c r="AE81" s="33"/>
      <c r="AF81" s="7"/>
      <c r="AG81" s="33"/>
      <c r="AH81" s="33"/>
      <c r="AI81" s="7"/>
      <c r="AJ81" s="7"/>
      <c r="AK81" s="7"/>
      <c r="AL81" s="33"/>
      <c r="AM81" s="33"/>
      <c r="BB81" s="9"/>
    </row>
    <row r="82" spans="2:70" ht="12" thickBo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0"/>
    </row>
    <row r="83" spans="2:70" ht="12" thickBo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2:70" ht="53.25" customHeight="1">
      <c r="B84" s="46" t="s">
        <v>68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8"/>
    </row>
    <row r="85" spans="2:70">
      <c r="B85" s="8"/>
      <c r="AI85" s="3" t="s">
        <v>8</v>
      </c>
      <c r="BB85" s="9"/>
    </row>
    <row r="86" spans="2:70">
      <c r="B86" s="8"/>
      <c r="BB86" s="9"/>
    </row>
    <row r="87" spans="2:70">
      <c r="B87" s="8"/>
      <c r="BB87" s="9"/>
    </row>
    <row r="88" spans="2:70">
      <c r="B88" s="8"/>
      <c r="BB88" s="9"/>
      <c r="BG88" s="50" t="s">
        <v>69</v>
      </c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</row>
    <row r="89" spans="2:70">
      <c r="B89" s="8"/>
      <c r="AM89" s="40">
        <f>(2*PI()*(AC107+AK103)*(V103+AA103)/360/H121)*1000</f>
        <v>356.218487394958</v>
      </c>
      <c r="AN89" s="40"/>
      <c r="AO89" s="1" t="s">
        <v>4</v>
      </c>
      <c r="BB89" s="9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</row>
    <row r="90" spans="2:70">
      <c r="B90" s="8"/>
      <c r="BB90" s="9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</row>
    <row r="91" spans="2:70">
      <c r="B91" s="8"/>
      <c r="BB91" s="9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</row>
    <row r="92" spans="2:70">
      <c r="B92" s="8"/>
      <c r="P92" s="1">
        <f>+M94-1</f>
        <v>15</v>
      </c>
      <c r="AF92" s="1">
        <v>3</v>
      </c>
      <c r="BB92" s="9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</row>
    <row r="93" spans="2:70">
      <c r="B93" s="8"/>
      <c r="BB93" s="9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</row>
    <row r="94" spans="2:70">
      <c r="B94" s="8"/>
      <c r="M94" s="1">
        <f>+K98-1</f>
        <v>16</v>
      </c>
      <c r="BB94" s="9"/>
    </row>
    <row r="95" spans="2:70">
      <c r="B95" s="8"/>
      <c r="AI95" s="1">
        <v>2</v>
      </c>
      <c r="BB95" s="9"/>
    </row>
    <row r="96" spans="2:70">
      <c r="B96" s="8"/>
      <c r="BB96" s="9"/>
    </row>
    <row r="97" spans="2:54">
      <c r="B97" s="8"/>
      <c r="BB97" s="9"/>
    </row>
    <row r="98" spans="2:54">
      <c r="B98" s="8"/>
      <c r="K98" s="1">
        <f>+H121</f>
        <v>17</v>
      </c>
      <c r="AK98" s="1">
        <v>1</v>
      </c>
      <c r="BB98" s="9"/>
    </row>
    <row r="99" spans="2:54">
      <c r="B99" s="8"/>
      <c r="BB99" s="9"/>
    </row>
    <row r="100" spans="2:54">
      <c r="B100" s="8"/>
      <c r="AW100" s="23" t="s">
        <v>0</v>
      </c>
      <c r="BB100" s="9"/>
    </row>
    <row r="101" spans="2:54">
      <c r="B101" s="8"/>
      <c r="D101" s="23" t="s">
        <v>0</v>
      </c>
      <c r="AB101" s="40">
        <f>(2*PI()*(AC107)*(V103+AA103)/360/H121)*1000</f>
        <v>197.89915966386553</v>
      </c>
      <c r="AC101" s="40"/>
      <c r="AD101" s="1" t="s">
        <v>4</v>
      </c>
      <c r="AW101" s="39">
        <f>(AC107+AK103)*SIN(ASIN(AT103/AC107)*180/PI()*PI()/180)</f>
        <v>0.9</v>
      </c>
      <c r="BB101" s="9"/>
    </row>
    <row r="102" spans="2:54">
      <c r="B102" s="8"/>
      <c r="D102" s="39">
        <f>(AC107+AK103)*SIN((180-(ASIN(AT103/AC107)*180/PI()+AA103+V103))*PI()/180)</f>
        <v>1.4316823176158799</v>
      </c>
      <c r="F102" s="23" t="s">
        <v>0</v>
      </c>
      <c r="AT102" s="23" t="s">
        <v>0</v>
      </c>
      <c r="AW102" s="39"/>
      <c r="BB102" s="9"/>
    </row>
    <row r="103" spans="2:54">
      <c r="B103" s="8"/>
      <c r="D103" s="39"/>
      <c r="F103" s="39">
        <f>AC107*SIN((180-(ASIN(AT103/AC107)*180/PI()+AA103+V103))*PI()/180)</f>
        <v>0.79537906534215541</v>
      </c>
      <c r="T103" s="6" t="s">
        <v>70</v>
      </c>
      <c r="V103" s="40">
        <f>+T126/2</f>
        <v>64.253124168242323</v>
      </c>
      <c r="W103" s="40"/>
      <c r="X103" s="26" t="s">
        <v>16</v>
      </c>
      <c r="Y103" s="6" t="s">
        <v>71</v>
      </c>
      <c r="AA103" s="40">
        <f>+V103</f>
        <v>64.253124168242323</v>
      </c>
      <c r="AB103" s="40"/>
      <c r="AC103" s="26" t="s">
        <v>16</v>
      </c>
      <c r="AJ103" s="1" t="s">
        <v>27</v>
      </c>
      <c r="AK103" s="44">
        <v>1.2</v>
      </c>
      <c r="AL103" s="44"/>
      <c r="AM103" s="1" t="s">
        <v>0</v>
      </c>
      <c r="AT103" s="43">
        <v>0.5</v>
      </c>
      <c r="AW103" s="39"/>
      <c r="BB103" s="9"/>
    </row>
    <row r="104" spans="2:54">
      <c r="B104" s="8"/>
      <c r="D104" s="39"/>
      <c r="F104" s="39"/>
      <c r="AT104" s="43"/>
      <c r="BB104" s="9"/>
    </row>
    <row r="105" spans="2:54">
      <c r="B105" s="8"/>
      <c r="F105" s="39"/>
      <c r="L105" s="1" t="s">
        <v>72</v>
      </c>
      <c r="N105" s="40">
        <f>+AC107+AK103</f>
        <v>2.7</v>
      </c>
      <c r="O105" s="40"/>
      <c r="P105" s="1" t="s">
        <v>0</v>
      </c>
      <c r="T105" s="40">
        <f>180-AA105-AA103-V103</f>
        <v>32.022531029024663</v>
      </c>
      <c r="U105" s="40"/>
      <c r="V105" s="26" t="s">
        <v>16</v>
      </c>
      <c r="AA105" s="40">
        <f>ASIN(AT103/AC107)*180/PI()</f>
        <v>19.471220634490692</v>
      </c>
      <c r="AB105" s="40"/>
      <c r="AC105" s="26" t="s">
        <v>16</v>
      </c>
      <c r="AT105" s="43"/>
      <c r="BB105" s="9"/>
    </row>
    <row r="106" spans="2:54">
      <c r="B106" s="8"/>
      <c r="BB106" s="9"/>
    </row>
    <row r="107" spans="2:54">
      <c r="B107" s="8"/>
      <c r="AA107" s="1" t="s">
        <v>73</v>
      </c>
      <c r="AC107" s="44">
        <v>1.5</v>
      </c>
      <c r="AD107" s="44"/>
      <c r="AE107" s="1" t="s">
        <v>0</v>
      </c>
      <c r="BB107" s="9"/>
    </row>
    <row r="108" spans="2:54">
      <c r="B108" s="8"/>
      <c r="BB108" s="9"/>
    </row>
    <row r="109" spans="2:54">
      <c r="B109" s="8"/>
      <c r="BB109" s="9"/>
    </row>
    <row r="110" spans="2:54">
      <c r="B110" s="8"/>
      <c r="Z110" s="5"/>
      <c r="BB110" s="9"/>
    </row>
    <row r="111" spans="2:54">
      <c r="B111" s="8"/>
      <c r="L111" s="40">
        <f>AK103*COS(T105*PI()/180)</f>
        <v>1.0174075737608215</v>
      </c>
      <c r="M111" s="40"/>
      <c r="N111" s="1" t="s">
        <v>0</v>
      </c>
      <c r="T111" s="40">
        <f>AC107*COS(T105*PI()/180)</f>
        <v>1.2717594672010268</v>
      </c>
      <c r="U111" s="40"/>
      <c r="V111" s="1" t="s">
        <v>0</v>
      </c>
      <c r="AB111" s="40">
        <f>AC107*COS(AA105*PI()/180)</f>
        <v>1.4142135623730949</v>
      </c>
      <c r="AC111" s="40"/>
      <c r="AD111" s="1" t="s">
        <v>0</v>
      </c>
      <c r="AI111" s="40">
        <f>AK103*COS(AA105*PI()/180)</f>
        <v>1.131370849898476</v>
      </c>
      <c r="AJ111" s="40"/>
      <c r="AK111" s="1" t="s">
        <v>0</v>
      </c>
      <c r="AT111" s="29"/>
      <c r="BB111" s="9"/>
    </row>
    <row r="112" spans="2:54">
      <c r="B112" s="8"/>
      <c r="AT112" s="29"/>
      <c r="BB112" s="9"/>
    </row>
    <row r="113" spans="2:54">
      <c r="B113" s="8"/>
      <c r="X113" s="40">
        <f>+L111+T111+AB111+AI111</f>
        <v>4.8347514532334195</v>
      </c>
      <c r="Y113" s="40"/>
      <c r="Z113" s="1" t="s">
        <v>0</v>
      </c>
      <c r="BB113" s="9"/>
    </row>
    <row r="114" spans="2:54">
      <c r="B114" s="8"/>
      <c r="BB114" s="9"/>
    </row>
    <row r="115" spans="2:54">
      <c r="B115" s="8"/>
      <c r="C115" s="27" t="s">
        <v>20</v>
      </c>
      <c r="BB115" s="9"/>
    </row>
    <row r="116" spans="2:54">
      <c r="B116" s="8"/>
      <c r="C116" s="1" t="s">
        <v>74</v>
      </c>
      <c r="J116" s="44">
        <v>3</v>
      </c>
      <c r="K116" s="44"/>
      <c r="L116" s="1" t="s">
        <v>0</v>
      </c>
      <c r="BB116" s="9"/>
    </row>
    <row r="117" spans="2:54">
      <c r="B117" s="8"/>
      <c r="C117" s="1" t="s">
        <v>21</v>
      </c>
      <c r="AU117" s="22"/>
      <c r="AV117" s="22"/>
      <c r="AW117" s="22"/>
      <c r="BB117" s="9"/>
    </row>
    <row r="118" spans="2:54">
      <c r="B118" s="8"/>
      <c r="C118" s="1" t="s">
        <v>25</v>
      </c>
      <c r="AG118" s="1" t="s">
        <v>2</v>
      </c>
      <c r="AI118" s="40">
        <f>+E119*1000</f>
        <v>277.05882352941177</v>
      </c>
      <c r="AJ118" s="40"/>
      <c r="AK118" s="1" t="s">
        <v>4</v>
      </c>
      <c r="AL118" s="29"/>
      <c r="AU118" s="22"/>
      <c r="AV118" s="22"/>
      <c r="AW118" s="22"/>
      <c r="BB118" s="9"/>
    </row>
    <row r="119" spans="2:54">
      <c r="B119" s="8"/>
      <c r="C119" s="1" t="s">
        <v>2</v>
      </c>
      <c r="E119" s="40">
        <f>0.63-2*E120</f>
        <v>0.27705882352941175</v>
      </c>
      <c r="F119" s="40"/>
      <c r="G119" s="40"/>
      <c r="H119" s="1" t="s">
        <v>0</v>
      </c>
      <c r="I119" s="1" t="s">
        <v>22</v>
      </c>
      <c r="AI119" s="29"/>
      <c r="BB119" s="9"/>
    </row>
    <row r="120" spans="2:54">
      <c r="B120" s="8"/>
      <c r="C120" s="1" t="s">
        <v>3</v>
      </c>
      <c r="E120" s="40">
        <f>+J116/H121</f>
        <v>0.17647058823529413</v>
      </c>
      <c r="F120" s="40"/>
      <c r="G120" s="40"/>
      <c r="H120" s="1" t="s">
        <v>0</v>
      </c>
      <c r="I120" s="1" t="s">
        <v>24</v>
      </c>
      <c r="AL120" s="29"/>
      <c r="AU120" s="23"/>
      <c r="BB120" s="9"/>
    </row>
    <row r="121" spans="2:54">
      <c r="B121" s="8"/>
      <c r="C121" s="1" t="s">
        <v>23</v>
      </c>
      <c r="H121" s="44">
        <v>17</v>
      </c>
      <c r="I121" s="44"/>
      <c r="J121" s="1" t="s">
        <v>13</v>
      </c>
      <c r="AI121" s="29"/>
      <c r="AU121" s="23"/>
      <c r="BB121" s="9"/>
    </row>
    <row r="122" spans="2:54">
      <c r="B122" s="8"/>
      <c r="C122" s="1">
        <v>2</v>
      </c>
      <c r="D122" s="29" t="s">
        <v>6</v>
      </c>
      <c r="E122" s="40">
        <f>+E120</f>
        <v>0.17647058823529413</v>
      </c>
      <c r="F122" s="40"/>
      <c r="G122" s="40"/>
      <c r="H122" s="29" t="s">
        <v>1</v>
      </c>
      <c r="I122" s="40">
        <f>+E119</f>
        <v>0.27705882352941175</v>
      </c>
      <c r="J122" s="40"/>
      <c r="K122" s="40"/>
      <c r="L122" s="29" t="s">
        <v>7</v>
      </c>
      <c r="M122" s="40">
        <f>+C122*E122+I122</f>
        <v>0.63</v>
      </c>
      <c r="N122" s="40"/>
      <c r="O122" s="40"/>
      <c r="P122" s="1" t="s">
        <v>0</v>
      </c>
      <c r="R122" s="3" t="str">
        <f>IF(M122=0.63,"uygun.","uygun değil.")</f>
        <v>uygun.</v>
      </c>
      <c r="AI122" s="29"/>
      <c r="AL122" s="1" t="s">
        <v>3</v>
      </c>
      <c r="AN122" s="40">
        <f>+E120*1000</f>
        <v>176.47058823529412</v>
      </c>
      <c r="AO122" s="40"/>
      <c r="AP122" s="1" t="s">
        <v>4</v>
      </c>
      <c r="AU122" s="34"/>
      <c r="BB122" s="9"/>
    </row>
    <row r="123" spans="2:54">
      <c r="B123" s="8"/>
      <c r="C123" s="1" t="s">
        <v>75</v>
      </c>
      <c r="D123" s="29"/>
      <c r="E123" s="29"/>
      <c r="F123" s="29"/>
      <c r="G123" s="29"/>
      <c r="H123" s="29"/>
      <c r="I123" s="29"/>
      <c r="J123" s="40">
        <f>+AC107+AK103/2</f>
        <v>2.1</v>
      </c>
      <c r="K123" s="40"/>
      <c r="L123" s="29" t="s">
        <v>0</v>
      </c>
      <c r="M123" s="29"/>
      <c r="N123" s="29"/>
      <c r="O123" s="29"/>
      <c r="R123" s="3"/>
      <c r="AI123" s="34"/>
      <c r="AU123" s="34"/>
      <c r="BB123" s="9"/>
    </row>
    <row r="124" spans="2:54">
      <c r="B124" s="8"/>
      <c r="C124" s="1" t="s">
        <v>76</v>
      </c>
      <c r="BB124" s="9"/>
    </row>
    <row r="125" spans="2:54">
      <c r="B125" s="8"/>
      <c r="C125" s="1" t="s">
        <v>77</v>
      </c>
      <c r="BB125" s="9"/>
    </row>
    <row r="126" spans="2:54">
      <c r="B126" s="8"/>
      <c r="C126" s="1" t="s">
        <v>78</v>
      </c>
      <c r="F126" s="1">
        <f>+H121</f>
        <v>17</v>
      </c>
      <c r="G126" s="29" t="s">
        <v>6</v>
      </c>
      <c r="H126" s="40">
        <f>+E119</f>
        <v>0.27705882352941175</v>
      </c>
      <c r="I126" s="40"/>
      <c r="J126" s="1" t="s">
        <v>6</v>
      </c>
      <c r="K126" s="40">
        <v>360</v>
      </c>
      <c r="L126" s="40"/>
      <c r="M126" s="1" t="s">
        <v>10</v>
      </c>
      <c r="N126" s="1">
        <v>2</v>
      </c>
      <c r="O126" s="1" t="s">
        <v>79</v>
      </c>
      <c r="Q126" s="40">
        <f>+J123</f>
        <v>2.1</v>
      </c>
      <c r="R126" s="40"/>
      <c r="S126" s="1" t="s">
        <v>11</v>
      </c>
      <c r="T126" s="40">
        <f>F126*H126*K126/(N126*PI()*Q126)</f>
        <v>128.50624833648465</v>
      </c>
      <c r="U126" s="40"/>
      <c r="V126" s="26" t="s">
        <v>16</v>
      </c>
      <c r="AL126" s="29"/>
      <c r="BB126" s="9"/>
    </row>
    <row r="127" spans="2:54">
      <c r="B127" s="8"/>
      <c r="C127" s="1" t="s">
        <v>80</v>
      </c>
      <c r="AE127" s="6" t="s">
        <v>81</v>
      </c>
      <c r="AG127" s="40">
        <f>+E133</f>
        <v>32.494799944853732</v>
      </c>
      <c r="AH127" s="40"/>
      <c r="AI127" s="26" t="s">
        <v>16</v>
      </c>
      <c r="AP127" s="23"/>
      <c r="BB127" s="9"/>
    </row>
    <row r="128" spans="2:54">
      <c r="B128" s="8"/>
      <c r="C128" s="1" t="s">
        <v>82</v>
      </c>
      <c r="AP128" s="23"/>
      <c r="BB128" s="9"/>
    </row>
    <row r="129" spans="2:54">
      <c r="B129" s="8"/>
      <c r="C129" s="1" t="s">
        <v>83</v>
      </c>
      <c r="E129" s="40">
        <v>360</v>
      </c>
      <c r="F129" s="40"/>
      <c r="G129" s="29" t="s">
        <v>6</v>
      </c>
      <c r="H129" s="40">
        <f>+J116</f>
        <v>3</v>
      </c>
      <c r="I129" s="40"/>
      <c r="J129" s="1" t="s">
        <v>10</v>
      </c>
      <c r="K129" s="1">
        <v>2</v>
      </c>
      <c r="L129" s="29" t="s">
        <v>6</v>
      </c>
      <c r="M129" s="40">
        <f>+V103</f>
        <v>64.253124168242323</v>
      </c>
      <c r="N129" s="40"/>
      <c r="O129" s="1" t="s">
        <v>11</v>
      </c>
      <c r="P129" s="40">
        <f>+E129*H129/(K129*M129)</f>
        <v>8.4042606019599564</v>
      </c>
      <c r="Q129" s="40"/>
      <c r="R129" s="1" t="s">
        <v>0</v>
      </c>
      <c r="AP129" s="23"/>
      <c r="BB129" s="9"/>
    </row>
    <row r="130" spans="2:54">
      <c r="B130" s="8"/>
      <c r="C130" s="1" t="s">
        <v>84</v>
      </c>
      <c r="AP130" s="23"/>
      <c r="BB130" s="9"/>
    </row>
    <row r="131" spans="2:54">
      <c r="B131" s="8"/>
      <c r="C131" s="1" t="s">
        <v>85</v>
      </c>
      <c r="AP131" s="23"/>
      <c r="BB131" s="9"/>
    </row>
    <row r="132" spans="2:54">
      <c r="B132" s="8"/>
      <c r="C132" s="1" t="s">
        <v>86</v>
      </c>
      <c r="F132" s="40">
        <f>+P129</f>
        <v>8.4042606019599564</v>
      </c>
      <c r="G132" s="40"/>
      <c r="H132" s="1" t="s">
        <v>10</v>
      </c>
      <c r="I132" s="1">
        <v>2</v>
      </c>
      <c r="J132" s="1" t="s">
        <v>79</v>
      </c>
      <c r="L132" s="40">
        <f>+J123</f>
        <v>2.1</v>
      </c>
      <c r="M132" s="40"/>
      <c r="N132" s="1" t="s">
        <v>11</v>
      </c>
      <c r="O132" s="40">
        <f>+F132/(I132*PI()*L132)</f>
        <v>0.63694267515923564</v>
      </c>
      <c r="P132" s="40"/>
      <c r="Q132" s="40"/>
      <c r="AP132" s="23"/>
      <c r="BB132" s="9"/>
    </row>
    <row r="133" spans="2:54">
      <c r="B133" s="8"/>
      <c r="C133" s="6" t="s">
        <v>81</v>
      </c>
      <c r="E133" s="40">
        <f>ATAN(O132)*180/PI()</f>
        <v>32.494799944853732</v>
      </c>
      <c r="F133" s="40"/>
      <c r="G133" s="26" t="s">
        <v>16</v>
      </c>
      <c r="AP133" s="23"/>
      <c r="BB133" s="9"/>
    </row>
    <row r="134" spans="2:54" ht="12" thickBot="1">
      <c r="B134" s="18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36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20"/>
    </row>
    <row r="135" spans="2:54" ht="12" thickBot="1"/>
    <row r="136" spans="2:54" ht="51" customHeight="1">
      <c r="B136" s="46" t="s">
        <v>28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8"/>
    </row>
    <row r="137" spans="2:54">
      <c r="B137" s="2"/>
      <c r="C137" s="24"/>
      <c r="D137" s="24"/>
      <c r="G137" s="24"/>
      <c r="H137" s="24"/>
      <c r="J137" s="24"/>
      <c r="K137" s="24"/>
      <c r="O137" s="24"/>
      <c r="P137" s="24"/>
      <c r="Q137" s="24"/>
      <c r="R137" s="24"/>
      <c r="S137" s="3" t="s">
        <v>8</v>
      </c>
      <c r="T137" s="24"/>
      <c r="U137" s="24"/>
      <c r="V137" s="24"/>
      <c r="W137" s="24"/>
      <c r="X137" s="24"/>
      <c r="Y137" s="24"/>
      <c r="AA137" s="24"/>
      <c r="AB137" s="24"/>
      <c r="AC137" s="24"/>
      <c r="AD137" s="24"/>
      <c r="AE137" s="24"/>
      <c r="AF137" s="24"/>
      <c r="AG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4"/>
    </row>
    <row r="138" spans="2:54">
      <c r="B138" s="8"/>
      <c r="Q138" s="40">
        <f>+Q171</f>
        <v>2.5999999999999996</v>
      </c>
      <c r="R138" s="40"/>
      <c r="S138" s="1" t="s">
        <v>0</v>
      </c>
      <c r="BB138" s="9"/>
    </row>
    <row r="139" spans="2:54">
      <c r="B139" s="8"/>
      <c r="BB139" s="9"/>
    </row>
    <row r="140" spans="2:54">
      <c r="B140" s="8"/>
      <c r="BB140" s="9"/>
    </row>
    <row r="141" spans="2:54">
      <c r="B141" s="8"/>
      <c r="J141" s="12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BB141" s="9"/>
    </row>
    <row r="142" spans="2:54">
      <c r="B142" s="8"/>
      <c r="G142" s="23" t="s">
        <v>0</v>
      </c>
      <c r="J142" s="10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11"/>
      <c r="BB142" s="9"/>
    </row>
    <row r="143" spans="2:54">
      <c r="B143" s="8"/>
      <c r="G143" s="43">
        <v>1.2</v>
      </c>
      <c r="J143" s="10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11"/>
      <c r="BB143" s="9"/>
    </row>
    <row r="144" spans="2:54">
      <c r="B144" s="8"/>
      <c r="G144" s="43"/>
      <c r="J144" s="10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11"/>
      <c r="AE144" s="1" t="s">
        <v>87</v>
      </c>
      <c r="AO144" s="40">
        <f>+AM161</f>
        <v>7</v>
      </c>
      <c r="AP144" s="40"/>
      <c r="AQ144" s="1" t="s">
        <v>13</v>
      </c>
      <c r="BB144" s="9"/>
    </row>
    <row r="145" spans="2:54">
      <c r="B145" s="8"/>
      <c r="G145" s="43"/>
      <c r="J145" s="10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11"/>
      <c r="BB145" s="9"/>
    </row>
    <row r="146" spans="2:54">
      <c r="B146" s="8"/>
      <c r="J146" s="10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11"/>
      <c r="BB146" s="9"/>
    </row>
    <row r="147" spans="2:54">
      <c r="B147" s="8"/>
      <c r="J147" s="10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11"/>
      <c r="BB147" s="9"/>
    </row>
    <row r="148" spans="2:54">
      <c r="B148" s="8"/>
      <c r="F148" s="40">
        <f>+R167/2</f>
        <v>0.1</v>
      </c>
      <c r="G148" s="40"/>
      <c r="H148" s="1" t="s">
        <v>0</v>
      </c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>
        <f>+M150+AM161</f>
        <v>12</v>
      </c>
      <c r="W148" s="16"/>
      <c r="X148" s="16"/>
      <c r="Y148" s="16"/>
      <c r="Z148" s="17"/>
      <c r="BB148" s="9"/>
    </row>
    <row r="149" spans="2:54">
      <c r="B149" s="8"/>
      <c r="J149" s="12"/>
      <c r="K149" s="13"/>
      <c r="L149" s="13"/>
      <c r="M149" s="13"/>
      <c r="N149" s="13"/>
      <c r="O149" s="13"/>
      <c r="P149" s="13"/>
      <c r="Q149" s="14"/>
      <c r="R149" s="37"/>
      <c r="S149" s="12"/>
      <c r="T149" s="13"/>
      <c r="U149" s="13"/>
      <c r="V149" s="13"/>
      <c r="W149" s="13"/>
      <c r="X149" s="13"/>
      <c r="Y149" s="13"/>
      <c r="Z149" s="14"/>
      <c r="BB149" s="9"/>
    </row>
    <row r="150" spans="2:54">
      <c r="B150" s="8"/>
      <c r="J150" s="15"/>
      <c r="K150" s="16"/>
      <c r="L150" s="16"/>
      <c r="M150" s="16">
        <f>(AN165-AM161)/2</f>
        <v>5</v>
      </c>
      <c r="N150" s="16"/>
      <c r="O150" s="16"/>
      <c r="P150" s="16"/>
      <c r="Q150" s="17"/>
      <c r="R150" s="25"/>
      <c r="S150" s="15"/>
      <c r="T150" s="16"/>
      <c r="U150" s="16"/>
      <c r="V150" s="16">
        <f>+V148+1</f>
        <v>13</v>
      </c>
      <c r="W150" s="16"/>
      <c r="X150" s="16"/>
      <c r="Y150" s="16"/>
      <c r="Z150" s="17"/>
      <c r="BB150" s="9"/>
    </row>
    <row r="151" spans="2:54">
      <c r="B151" s="8"/>
      <c r="J151" s="12"/>
      <c r="K151" s="13"/>
      <c r="L151" s="13"/>
      <c r="M151" s="13"/>
      <c r="N151" s="13"/>
      <c r="O151" s="13"/>
      <c r="P151" s="13"/>
      <c r="Q151" s="14"/>
      <c r="R151" s="25"/>
      <c r="S151" s="12"/>
      <c r="T151" s="13"/>
      <c r="U151" s="13"/>
      <c r="V151" s="13"/>
      <c r="W151" s="13"/>
      <c r="X151" s="13"/>
      <c r="Y151" s="13"/>
      <c r="Z151" s="14"/>
      <c r="AG151" s="27" t="s">
        <v>20</v>
      </c>
      <c r="BB151" s="9"/>
    </row>
    <row r="152" spans="2:54">
      <c r="B152" s="8"/>
      <c r="E152" s="23" t="s">
        <v>0</v>
      </c>
      <c r="J152" s="15"/>
      <c r="K152" s="16"/>
      <c r="L152" s="16"/>
      <c r="M152" s="16">
        <f>+M150-1</f>
        <v>4</v>
      </c>
      <c r="N152" s="16"/>
      <c r="O152" s="16"/>
      <c r="P152" s="16"/>
      <c r="Q152" s="17"/>
      <c r="R152" s="25"/>
      <c r="S152" s="15"/>
      <c r="T152" s="16"/>
      <c r="U152" s="16"/>
      <c r="V152" s="16">
        <f>+V150+1</f>
        <v>14</v>
      </c>
      <c r="W152" s="16"/>
      <c r="X152" s="16"/>
      <c r="Y152" s="16"/>
      <c r="Z152" s="17"/>
      <c r="AG152" s="1" t="s">
        <v>21</v>
      </c>
      <c r="BB152" s="9"/>
    </row>
    <row r="153" spans="2:54">
      <c r="B153" s="8"/>
      <c r="E153" s="43">
        <v>2.7</v>
      </c>
      <c r="J153" s="12"/>
      <c r="K153" s="13"/>
      <c r="L153" s="13"/>
      <c r="M153" s="13"/>
      <c r="N153" s="13"/>
      <c r="O153" s="13"/>
      <c r="P153" s="13"/>
      <c r="Q153" s="14"/>
      <c r="R153" s="25"/>
      <c r="S153" s="12"/>
      <c r="T153" s="13"/>
      <c r="U153" s="13"/>
      <c r="V153" s="13"/>
      <c r="W153" s="13"/>
      <c r="X153" s="13"/>
      <c r="Y153" s="13"/>
      <c r="Z153" s="14"/>
      <c r="AG153" s="1" t="s">
        <v>25</v>
      </c>
      <c r="BB153" s="9"/>
    </row>
    <row r="154" spans="2:54">
      <c r="B154" s="8"/>
      <c r="E154" s="43"/>
      <c r="J154" s="15"/>
      <c r="K154" s="16"/>
      <c r="L154" s="16"/>
      <c r="M154" s="16" t="s">
        <v>15</v>
      </c>
      <c r="N154" s="16"/>
      <c r="O154" s="16"/>
      <c r="P154" s="16"/>
      <c r="Q154" s="17"/>
      <c r="R154" s="25"/>
      <c r="S154" s="15"/>
      <c r="T154" s="16"/>
      <c r="U154" s="16"/>
      <c r="V154" s="16" t="s">
        <v>15</v>
      </c>
      <c r="W154" s="16"/>
      <c r="X154" s="16"/>
      <c r="Y154" s="16"/>
      <c r="Z154" s="17"/>
      <c r="AB154" s="1" t="s">
        <v>2</v>
      </c>
      <c r="AG154" s="1" t="s">
        <v>2</v>
      </c>
      <c r="AI154" s="44">
        <v>0.28999999999999998</v>
      </c>
      <c r="AJ154" s="44"/>
      <c r="AK154" s="44"/>
      <c r="AL154" s="1" t="s">
        <v>0</v>
      </c>
      <c r="AM154" s="1" t="s">
        <v>22</v>
      </c>
      <c r="BB154" s="9"/>
    </row>
    <row r="155" spans="2:54">
      <c r="B155" s="8"/>
      <c r="E155" s="43"/>
      <c r="J155" s="12"/>
      <c r="K155" s="13"/>
      <c r="L155" s="13"/>
      <c r="M155" s="13"/>
      <c r="N155" s="13"/>
      <c r="O155" s="13"/>
      <c r="P155" s="13"/>
      <c r="Q155" s="14"/>
      <c r="R155" s="25"/>
      <c r="S155" s="12"/>
      <c r="T155" s="13"/>
      <c r="U155" s="13"/>
      <c r="V155" s="13"/>
      <c r="W155" s="13"/>
      <c r="X155" s="13"/>
      <c r="Y155" s="13"/>
      <c r="Z155" s="14"/>
      <c r="AA155" s="45">
        <f>+AI154</f>
        <v>0.28999999999999998</v>
      </c>
      <c r="AB155" s="40"/>
      <c r="AC155" s="40"/>
      <c r="AD155" s="40" t="s">
        <v>0</v>
      </c>
      <c r="AG155" s="1" t="s">
        <v>88</v>
      </c>
      <c r="AN155" s="40">
        <v>0.63</v>
      </c>
      <c r="AO155" s="40"/>
      <c r="AP155" s="29" t="s">
        <v>14</v>
      </c>
      <c r="AQ155" s="40">
        <f>+AI154</f>
        <v>0.28999999999999998</v>
      </c>
      <c r="AR155" s="40"/>
      <c r="AS155" s="1" t="s">
        <v>89</v>
      </c>
      <c r="AT155" s="1">
        <v>2</v>
      </c>
      <c r="AU155" s="29" t="s">
        <v>7</v>
      </c>
      <c r="AV155" s="40">
        <f>(AN155-AQ155)/AT155</f>
        <v>0.17</v>
      </c>
      <c r="AW155" s="40"/>
      <c r="AX155" s="40"/>
      <c r="AY155" s="1" t="s">
        <v>0</v>
      </c>
      <c r="BB155" s="9"/>
    </row>
    <row r="156" spans="2:54">
      <c r="B156" s="8"/>
      <c r="G156" s="23" t="s">
        <v>0</v>
      </c>
      <c r="J156" s="15"/>
      <c r="K156" s="16"/>
      <c r="L156" s="16"/>
      <c r="M156" s="16" t="s">
        <v>15</v>
      </c>
      <c r="N156" s="16"/>
      <c r="O156" s="16"/>
      <c r="P156" s="16"/>
      <c r="Q156" s="17"/>
      <c r="R156" s="25"/>
      <c r="S156" s="15"/>
      <c r="T156" s="16"/>
      <c r="U156" s="16"/>
      <c r="V156" s="16" t="s">
        <v>15</v>
      </c>
      <c r="W156" s="16"/>
      <c r="X156" s="16"/>
      <c r="Y156" s="16"/>
      <c r="Z156" s="17"/>
      <c r="AA156" s="45"/>
      <c r="AB156" s="40"/>
      <c r="AC156" s="40"/>
      <c r="AD156" s="40"/>
      <c r="AG156" s="1" t="s">
        <v>3</v>
      </c>
      <c r="AI156" s="40">
        <f>+AR168</f>
        <v>0.17</v>
      </c>
      <c r="AJ156" s="40"/>
      <c r="AK156" s="40"/>
      <c r="AL156" s="1" t="s">
        <v>0</v>
      </c>
      <c r="AM156" s="1" t="s">
        <v>24</v>
      </c>
      <c r="BB156" s="9"/>
    </row>
    <row r="157" spans="2:54">
      <c r="B157" s="8"/>
      <c r="G157" s="39">
        <f>+E153-F148-G143</f>
        <v>1.4000000000000001</v>
      </c>
      <c r="J157" s="12"/>
      <c r="K157" s="13"/>
      <c r="L157" s="13"/>
      <c r="M157" s="13"/>
      <c r="N157" s="13"/>
      <c r="O157" s="13"/>
      <c r="P157" s="13"/>
      <c r="Q157" s="14"/>
      <c r="R157" s="25"/>
      <c r="S157" s="12"/>
      <c r="T157" s="13"/>
      <c r="U157" s="13"/>
      <c r="V157" s="13"/>
      <c r="W157" s="13"/>
      <c r="X157" s="13"/>
      <c r="Y157" s="13"/>
      <c r="Z157" s="14"/>
      <c r="AG157" s="1" t="s">
        <v>90</v>
      </c>
      <c r="AO157" s="1" t="s">
        <v>91</v>
      </c>
      <c r="AP157" s="40">
        <f>(G143+F148)/2</f>
        <v>0.65</v>
      </c>
      <c r="AQ157" s="40"/>
      <c r="AR157" s="1" t="s">
        <v>0</v>
      </c>
      <c r="BB157" s="9"/>
    </row>
    <row r="158" spans="2:54">
      <c r="B158" s="8"/>
      <c r="G158" s="39"/>
      <c r="J158" s="15"/>
      <c r="K158" s="16"/>
      <c r="L158" s="16"/>
      <c r="M158" s="16" t="s">
        <v>15</v>
      </c>
      <c r="N158" s="16"/>
      <c r="O158" s="16"/>
      <c r="P158" s="16"/>
      <c r="Q158" s="17"/>
      <c r="R158" s="25"/>
      <c r="S158" s="15"/>
      <c r="T158" s="16"/>
      <c r="U158" s="16"/>
      <c r="V158" s="16" t="s">
        <v>15</v>
      </c>
      <c r="W158" s="16"/>
      <c r="X158" s="16"/>
      <c r="Y158" s="16"/>
      <c r="Z158" s="17"/>
      <c r="AG158" s="5" t="s">
        <v>92</v>
      </c>
      <c r="BB158" s="9"/>
    </row>
    <row r="159" spans="2:54">
      <c r="B159" s="8"/>
      <c r="G159" s="39"/>
      <c r="J159" s="12"/>
      <c r="K159" s="13"/>
      <c r="L159" s="13"/>
      <c r="M159" s="13"/>
      <c r="N159" s="13"/>
      <c r="O159" s="13"/>
      <c r="P159" s="13"/>
      <c r="Q159" s="14"/>
      <c r="R159" s="25"/>
      <c r="S159" s="12"/>
      <c r="T159" s="13"/>
      <c r="U159" s="13"/>
      <c r="V159" s="13"/>
      <c r="W159" s="13"/>
      <c r="X159" s="13"/>
      <c r="Y159" s="13"/>
      <c r="Z159" s="14"/>
      <c r="AG159" s="6" t="s">
        <v>93</v>
      </c>
      <c r="AI159" s="40">
        <f>PI()*AP157</f>
        <v>2.0420352248333655</v>
      </c>
      <c r="AJ159" s="40"/>
      <c r="AK159" s="1" t="s">
        <v>0</v>
      </c>
      <c r="BB159" s="9"/>
    </row>
    <row r="160" spans="2:54">
      <c r="B160" s="8"/>
      <c r="J160" s="15"/>
      <c r="K160" s="16"/>
      <c r="L160" s="16"/>
      <c r="M160" s="16" t="s">
        <v>15</v>
      </c>
      <c r="N160" s="16"/>
      <c r="O160" s="16"/>
      <c r="P160" s="16"/>
      <c r="Q160" s="17"/>
      <c r="R160" s="25"/>
      <c r="S160" s="15"/>
      <c r="T160" s="16"/>
      <c r="U160" s="16"/>
      <c r="V160" s="16" t="s">
        <v>15</v>
      </c>
      <c r="W160" s="16"/>
      <c r="X160" s="16"/>
      <c r="Y160" s="16"/>
      <c r="Z160" s="17"/>
      <c r="AG160" s="5" t="s">
        <v>94</v>
      </c>
      <c r="BB160" s="9"/>
    </row>
    <row r="161" spans="2:54">
      <c r="B161" s="8"/>
      <c r="J161" s="12"/>
      <c r="K161" s="13"/>
      <c r="L161" s="13"/>
      <c r="M161" s="13"/>
      <c r="N161" s="13"/>
      <c r="O161" s="13"/>
      <c r="P161" s="13"/>
      <c r="Q161" s="14"/>
      <c r="R161" s="25"/>
      <c r="S161" s="12"/>
      <c r="T161" s="13"/>
      <c r="U161" s="13"/>
      <c r="V161" s="13"/>
      <c r="W161" s="13"/>
      <c r="X161" s="13"/>
      <c r="Y161" s="13"/>
      <c r="Z161" s="14"/>
      <c r="AG161" s="40">
        <f>+AI159</f>
        <v>2.0420352248333655</v>
      </c>
      <c r="AH161" s="40"/>
      <c r="AI161" s="1" t="s">
        <v>9</v>
      </c>
      <c r="AJ161" s="40">
        <f>+AI154</f>
        <v>0.28999999999999998</v>
      </c>
      <c r="AK161" s="40"/>
      <c r="AL161" s="29" t="s">
        <v>7</v>
      </c>
      <c r="AM161" s="40">
        <f>ROUND(AG161/AJ161,0)</f>
        <v>7</v>
      </c>
      <c r="AN161" s="40"/>
      <c r="AO161" s="1" t="s">
        <v>13</v>
      </c>
      <c r="BB161" s="9"/>
    </row>
    <row r="162" spans="2:54">
      <c r="B162" s="8"/>
      <c r="J162" s="15"/>
      <c r="K162" s="16"/>
      <c r="L162" s="16"/>
      <c r="M162" s="16">
        <v>3</v>
      </c>
      <c r="N162" s="16"/>
      <c r="O162" s="16"/>
      <c r="P162" s="16"/>
      <c r="Q162" s="17"/>
      <c r="R162" s="25"/>
      <c r="S162" s="15"/>
      <c r="T162" s="16"/>
      <c r="U162" s="16"/>
      <c r="V162" s="16">
        <f>V164-1</f>
        <v>15</v>
      </c>
      <c r="W162" s="16"/>
      <c r="X162" s="16"/>
      <c r="Y162" s="16"/>
      <c r="Z162" s="17"/>
      <c r="AG162" s="5" t="s">
        <v>95</v>
      </c>
      <c r="BB162" s="9"/>
    </row>
    <row r="163" spans="2:54">
      <c r="B163" s="8"/>
      <c r="J163" s="12"/>
      <c r="K163" s="13"/>
      <c r="L163" s="13"/>
      <c r="M163" s="13"/>
      <c r="N163" s="13"/>
      <c r="O163" s="13"/>
      <c r="P163" s="13"/>
      <c r="Q163" s="14"/>
      <c r="R163" s="25"/>
      <c r="S163" s="12"/>
      <c r="T163" s="13"/>
      <c r="U163" s="13"/>
      <c r="V163" s="13"/>
      <c r="W163" s="13"/>
      <c r="X163" s="13"/>
      <c r="Y163" s="13"/>
      <c r="Z163" s="14"/>
      <c r="AG163" s="40">
        <f>+G157</f>
        <v>1.4000000000000001</v>
      </c>
      <c r="AH163" s="40"/>
      <c r="AI163" s="29" t="s">
        <v>6</v>
      </c>
      <c r="AJ163" s="1">
        <v>2</v>
      </c>
      <c r="AK163" s="29" t="s">
        <v>1</v>
      </c>
      <c r="AL163" s="40">
        <f>+AI159</f>
        <v>2.0420352248333655</v>
      </c>
      <c r="AM163" s="40"/>
      <c r="AN163" s="29" t="s">
        <v>7</v>
      </c>
      <c r="AO163" s="40">
        <f>+AG163*AJ163+AL163</f>
        <v>4.8420352248333653</v>
      </c>
      <c r="AP163" s="40"/>
      <c r="AQ163" s="1" t="s">
        <v>0</v>
      </c>
      <c r="BB163" s="9"/>
    </row>
    <row r="164" spans="2:54">
      <c r="B164" s="8"/>
      <c r="J164" s="15"/>
      <c r="K164" s="16"/>
      <c r="L164" s="16"/>
      <c r="M164" s="16">
        <v>2</v>
      </c>
      <c r="N164" s="16"/>
      <c r="O164" s="16"/>
      <c r="P164" s="16"/>
      <c r="Q164" s="17"/>
      <c r="R164" s="25"/>
      <c r="S164" s="15"/>
      <c r="T164" s="16"/>
      <c r="U164" s="16"/>
      <c r="V164" s="16">
        <f>+V166-1</f>
        <v>16</v>
      </c>
      <c r="W164" s="16"/>
      <c r="X164" s="16"/>
      <c r="Y164" s="16"/>
      <c r="Z164" s="17"/>
      <c r="AG164" s="5" t="s">
        <v>96</v>
      </c>
      <c r="BB164" s="9"/>
    </row>
    <row r="165" spans="2:54">
      <c r="B165" s="8"/>
      <c r="J165" s="12"/>
      <c r="K165" s="13"/>
      <c r="L165" s="13"/>
      <c r="M165" s="13"/>
      <c r="N165" s="13"/>
      <c r="O165" s="13"/>
      <c r="P165" s="13"/>
      <c r="Q165" s="14"/>
      <c r="R165" s="25"/>
      <c r="S165" s="12"/>
      <c r="T165" s="13"/>
      <c r="U165" s="13"/>
      <c r="V165" s="13"/>
      <c r="W165" s="13"/>
      <c r="X165" s="13"/>
      <c r="Y165" s="13"/>
      <c r="Z165" s="14"/>
      <c r="AG165" s="40">
        <f>+AO163</f>
        <v>4.8420352248333653</v>
      </c>
      <c r="AH165" s="40"/>
      <c r="AI165" s="1" t="s">
        <v>9</v>
      </c>
      <c r="AJ165" s="40">
        <f>+AI154</f>
        <v>0.28999999999999998</v>
      </c>
      <c r="AK165" s="40"/>
      <c r="AL165" s="40"/>
      <c r="AM165" s="29" t="s">
        <v>7</v>
      </c>
      <c r="AN165" s="40">
        <f>ROUND(AG165/AJ165,0)</f>
        <v>17</v>
      </c>
      <c r="AO165" s="40"/>
      <c r="AP165" s="1" t="s">
        <v>13</v>
      </c>
      <c r="BB165" s="9"/>
    </row>
    <row r="166" spans="2:54">
      <c r="B166" s="8"/>
      <c r="J166" s="15"/>
      <c r="K166" s="16"/>
      <c r="L166" s="16"/>
      <c r="M166" s="16">
        <v>1</v>
      </c>
      <c r="N166" s="16"/>
      <c r="O166" s="16"/>
      <c r="P166" s="16"/>
      <c r="Q166" s="17"/>
      <c r="R166" s="38"/>
      <c r="S166" s="15"/>
      <c r="T166" s="16"/>
      <c r="U166" s="16"/>
      <c r="V166" s="16">
        <f>+AP166-1</f>
        <v>17</v>
      </c>
      <c r="W166" s="16"/>
      <c r="X166" s="16"/>
      <c r="Y166" s="16"/>
      <c r="Z166" s="17"/>
      <c r="AG166" s="1" t="s">
        <v>97</v>
      </c>
      <c r="AK166" s="40">
        <f>+AN165</f>
        <v>17</v>
      </c>
      <c r="AL166" s="40"/>
      <c r="AM166" s="29" t="s">
        <v>1</v>
      </c>
      <c r="AN166" s="1">
        <v>1</v>
      </c>
      <c r="AO166" s="29" t="s">
        <v>7</v>
      </c>
      <c r="AP166" s="40">
        <f>+AK166+AN166</f>
        <v>18</v>
      </c>
      <c r="AQ166" s="40"/>
      <c r="AR166" s="1" t="s">
        <v>13</v>
      </c>
      <c r="BB166" s="9"/>
    </row>
    <row r="167" spans="2:54">
      <c r="B167" s="8"/>
      <c r="R167" s="42">
        <v>0.2</v>
      </c>
      <c r="AG167" s="5" t="s">
        <v>98</v>
      </c>
      <c r="BB167" s="9"/>
    </row>
    <row r="168" spans="2:54">
      <c r="B168" s="8"/>
      <c r="R168" s="43"/>
      <c r="AG168" s="1" t="s">
        <v>99</v>
      </c>
      <c r="AP168" s="1" t="s">
        <v>3</v>
      </c>
      <c r="AR168" s="40">
        <f>+AV155</f>
        <v>0.17</v>
      </c>
      <c r="AS168" s="40"/>
      <c r="AT168" s="40"/>
      <c r="AU168" s="1" t="s">
        <v>0</v>
      </c>
      <c r="BB168" s="9"/>
    </row>
    <row r="169" spans="2:54">
      <c r="B169" s="8"/>
      <c r="M169" s="44">
        <v>1.2</v>
      </c>
      <c r="N169" s="44"/>
      <c r="O169" s="1" t="s">
        <v>0</v>
      </c>
      <c r="R169" s="43"/>
      <c r="V169" s="40">
        <f>+M169</f>
        <v>1.2</v>
      </c>
      <c r="W169" s="40"/>
      <c r="X169" s="1" t="s">
        <v>0</v>
      </c>
      <c r="AG169" s="1" t="s">
        <v>19</v>
      </c>
      <c r="AI169" s="40">
        <f>+AP166</f>
        <v>18</v>
      </c>
      <c r="AJ169" s="40"/>
      <c r="AK169" s="29" t="s">
        <v>6</v>
      </c>
      <c r="AL169" s="40">
        <f>+AR168</f>
        <v>0.17</v>
      </c>
      <c r="AM169" s="40"/>
      <c r="AN169" s="40"/>
      <c r="AO169" s="29" t="s">
        <v>7</v>
      </c>
      <c r="AP169" s="40">
        <f>+AI169*AL169</f>
        <v>3.06</v>
      </c>
      <c r="AQ169" s="40"/>
      <c r="AR169" s="40"/>
      <c r="AS169" s="1" t="s">
        <v>0</v>
      </c>
      <c r="BB169" s="9"/>
    </row>
    <row r="170" spans="2:54">
      <c r="B170" s="8"/>
      <c r="BB170" s="9"/>
    </row>
    <row r="171" spans="2:54">
      <c r="B171" s="8"/>
      <c r="Q171" s="40">
        <f>+M169+R167+V169</f>
        <v>2.5999999999999996</v>
      </c>
      <c r="R171" s="40"/>
      <c r="S171" s="1" t="s">
        <v>0</v>
      </c>
      <c r="BB171" s="9"/>
    </row>
    <row r="172" spans="2:54">
      <c r="B172" s="8"/>
      <c r="BB172" s="9"/>
    </row>
    <row r="173" spans="2:54">
      <c r="B173" s="8"/>
      <c r="BB173" s="9"/>
    </row>
    <row r="174" spans="2:54">
      <c r="B174" s="8"/>
      <c r="R174" s="40">
        <f>+E153</f>
        <v>2.7</v>
      </c>
      <c r="S174" s="40"/>
      <c r="BB174" s="9"/>
    </row>
    <row r="175" spans="2:54">
      <c r="B175" s="8"/>
      <c r="BB175" s="9"/>
    </row>
    <row r="176" spans="2:54">
      <c r="B176" s="8"/>
      <c r="J176" s="1">
        <f>+AN165</f>
        <v>17</v>
      </c>
      <c r="BB176" s="9"/>
    </row>
    <row r="177" spans="2:54">
      <c r="B177" s="8"/>
      <c r="L177" s="1">
        <f>+J176-1</f>
        <v>16</v>
      </c>
      <c r="BB177" s="9"/>
    </row>
    <row r="178" spans="2:54">
      <c r="B178" s="8"/>
      <c r="M178" s="1">
        <f>+L177-1</f>
        <v>15</v>
      </c>
      <c r="R178" s="1" t="s">
        <v>100</v>
      </c>
      <c r="BB178" s="9"/>
    </row>
    <row r="179" spans="2:54">
      <c r="B179" s="8"/>
      <c r="O179" s="1">
        <f>+M178-1</f>
        <v>14</v>
      </c>
      <c r="Q179" s="41">
        <f>+AI154*1000</f>
        <v>290</v>
      </c>
      <c r="R179" s="41"/>
      <c r="S179" s="1" t="s">
        <v>4</v>
      </c>
      <c r="BB179" s="9"/>
    </row>
    <row r="180" spans="2:54">
      <c r="B180" s="8"/>
      <c r="BB180" s="9"/>
    </row>
    <row r="181" spans="2:54">
      <c r="B181" s="8"/>
      <c r="T181" s="40">
        <f>+AR168*1000</f>
        <v>170</v>
      </c>
      <c r="U181" s="40"/>
      <c r="V181" s="1" t="s">
        <v>4</v>
      </c>
      <c r="X181" s="1" t="s">
        <v>101</v>
      </c>
      <c r="BB181" s="9"/>
    </row>
    <row r="182" spans="2:54">
      <c r="B182" s="8"/>
      <c r="F182" s="40">
        <f>+D185/2</f>
        <v>1.53</v>
      </c>
      <c r="G182" s="40"/>
      <c r="H182" s="1" t="s">
        <v>0</v>
      </c>
      <c r="BB182" s="9"/>
    </row>
    <row r="183" spans="2:54">
      <c r="B183" s="8"/>
      <c r="BB183" s="9"/>
    </row>
    <row r="184" spans="2:54">
      <c r="B184" s="8"/>
      <c r="D184" s="23" t="s">
        <v>0</v>
      </c>
      <c r="N184" s="6" t="s">
        <v>81</v>
      </c>
      <c r="P184" s="40">
        <f>ATAN(T181/Q179)*180/PI()</f>
        <v>30.379126011368346</v>
      </c>
      <c r="Q184" s="40"/>
      <c r="R184" s="26" t="s">
        <v>16</v>
      </c>
      <c r="BB184" s="9"/>
    </row>
    <row r="185" spans="2:54">
      <c r="B185" s="8"/>
      <c r="D185" s="39">
        <f>+AP169</f>
        <v>3.06</v>
      </c>
      <c r="BB185" s="9"/>
    </row>
    <row r="186" spans="2:54">
      <c r="B186" s="8"/>
      <c r="D186" s="39"/>
      <c r="BB186" s="9"/>
    </row>
    <row r="187" spans="2:54">
      <c r="B187" s="8"/>
      <c r="D187" s="39"/>
      <c r="BB187" s="9"/>
    </row>
    <row r="188" spans="2:54">
      <c r="B188" s="8"/>
      <c r="D188" s="39" t="s">
        <v>102</v>
      </c>
      <c r="BB188" s="9"/>
    </row>
    <row r="189" spans="2:54">
      <c r="B189" s="8"/>
      <c r="D189" s="39"/>
      <c r="BB189" s="9"/>
    </row>
    <row r="190" spans="2:54">
      <c r="B190" s="8"/>
      <c r="D190" s="39"/>
      <c r="BB190" s="9"/>
    </row>
    <row r="191" spans="2:54">
      <c r="B191" s="8"/>
      <c r="D191" s="39"/>
      <c r="F191" s="40">
        <f>+F182</f>
        <v>1.53</v>
      </c>
      <c r="G191" s="40"/>
      <c r="H191" s="1" t="s">
        <v>0</v>
      </c>
      <c r="BB191" s="9"/>
    </row>
    <row r="192" spans="2:54">
      <c r="B192" s="8"/>
      <c r="D192" s="39"/>
      <c r="BB192" s="9"/>
    </row>
    <row r="193" spans="2:54">
      <c r="B193" s="8"/>
      <c r="D193" s="39"/>
      <c r="M193" s="1">
        <v>3</v>
      </c>
      <c r="BB193" s="9"/>
    </row>
    <row r="194" spans="2:54">
      <c r="B194" s="8"/>
      <c r="L194" s="1">
        <v>2</v>
      </c>
      <c r="BB194" s="9"/>
    </row>
    <row r="195" spans="2:54">
      <c r="B195" s="8"/>
      <c r="J195" s="1">
        <v>1</v>
      </c>
      <c r="BB195" s="9"/>
    </row>
    <row r="196" spans="2:54">
      <c r="B196" s="8"/>
      <c r="BB196" s="9"/>
    </row>
    <row r="197" spans="2:54">
      <c r="B197" s="8"/>
      <c r="BB197" s="9"/>
    </row>
    <row r="198" spans="2:54">
      <c r="B198" s="8"/>
      <c r="BB198" s="9"/>
    </row>
    <row r="199" spans="2:54" ht="12" thickBot="1"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20"/>
    </row>
  </sheetData>
  <sheetProtection algorithmName="SHA-512" hashValue="zY2MEhI7XEXgq2fhFajVvSKClpPB1aYR/cCL/fdUKhbXURW2haQk5YNtkMi9eMRizc4QN+BDHEYVmYWHWp3kJg==" saltValue="NZ2a16jqoWKjXjLhXW6hSg==" spinCount="100000" sheet="1" objects="1" scenarios="1"/>
  <mergeCells count="171">
    <mergeCell ref="B2:BB2"/>
    <mergeCell ref="BF7:BP14"/>
    <mergeCell ref="W14:X14"/>
    <mergeCell ref="AE15:AE17"/>
    <mergeCell ref="J17:L17"/>
    <mergeCell ref="AE18:AE19"/>
    <mergeCell ref="E19:F20"/>
    <mergeCell ref="G19:I20"/>
    <mergeCell ref="J19:K20"/>
    <mergeCell ref="Q19:R19"/>
    <mergeCell ref="F48:R48"/>
    <mergeCell ref="S48:Z48"/>
    <mergeCell ref="AA48:AH48"/>
    <mergeCell ref="F49:R49"/>
    <mergeCell ref="S49:Z49"/>
    <mergeCell ref="AA49:AH49"/>
    <mergeCell ref="Q30:R30"/>
    <mergeCell ref="AH37:AH39"/>
    <mergeCell ref="AH40:AH41"/>
    <mergeCell ref="F47:R47"/>
    <mergeCell ref="S47:Z47"/>
    <mergeCell ref="AA47:AH47"/>
    <mergeCell ref="F50:R50"/>
    <mergeCell ref="S50:Z50"/>
    <mergeCell ref="AA50:AH50"/>
    <mergeCell ref="F52:R53"/>
    <mergeCell ref="S52:Z52"/>
    <mergeCell ref="AA52:AH52"/>
    <mergeCell ref="S53:V53"/>
    <mergeCell ref="W53:Z53"/>
    <mergeCell ref="AA53:AD53"/>
    <mergeCell ref="AE53:AH53"/>
    <mergeCell ref="F54:R54"/>
    <mergeCell ref="S54:V54"/>
    <mergeCell ref="W54:Z54"/>
    <mergeCell ref="AA54:AD54"/>
    <mergeCell ref="AE54:AH54"/>
    <mergeCell ref="F55:R55"/>
    <mergeCell ref="S55:V55"/>
    <mergeCell ref="W55:Z55"/>
    <mergeCell ref="AA55:AD55"/>
    <mergeCell ref="AE55:AH55"/>
    <mergeCell ref="F56:R56"/>
    <mergeCell ref="S56:V56"/>
    <mergeCell ref="W56:Z56"/>
    <mergeCell ref="AA56:AD56"/>
    <mergeCell ref="AE56:AH56"/>
    <mergeCell ref="F57:R57"/>
    <mergeCell ref="S57:V57"/>
    <mergeCell ref="W57:Z57"/>
    <mergeCell ref="AA57:AD57"/>
    <mergeCell ref="AE57:AH57"/>
    <mergeCell ref="F58:R58"/>
    <mergeCell ref="S58:V58"/>
    <mergeCell ref="W58:Z58"/>
    <mergeCell ref="AA58:AD58"/>
    <mergeCell ref="AE58:AH58"/>
    <mergeCell ref="F59:R59"/>
    <mergeCell ref="S59:V59"/>
    <mergeCell ref="W59:Z59"/>
    <mergeCell ref="AA59:AD59"/>
    <mergeCell ref="AE59:AH59"/>
    <mergeCell ref="G76:H76"/>
    <mergeCell ref="F77:G77"/>
    <mergeCell ref="M77:N77"/>
    <mergeCell ref="X77:Y77"/>
    <mergeCell ref="AC77:AD77"/>
    <mergeCell ref="AH77:AI77"/>
    <mergeCell ref="H71:J71"/>
    <mergeCell ref="H72:J72"/>
    <mergeCell ref="K73:L73"/>
    <mergeCell ref="H74:J74"/>
    <mergeCell ref="L74:N74"/>
    <mergeCell ref="P74:R74"/>
    <mergeCell ref="O81:P81"/>
    <mergeCell ref="R81:S81"/>
    <mergeCell ref="U81:V81"/>
    <mergeCell ref="B84:BB84"/>
    <mergeCell ref="BG88:BR93"/>
    <mergeCell ref="AM89:AN89"/>
    <mergeCell ref="F78:G78"/>
    <mergeCell ref="M78:N78"/>
    <mergeCell ref="X78:Y78"/>
    <mergeCell ref="AC78:AD78"/>
    <mergeCell ref="AH78:AI78"/>
    <mergeCell ref="O80:P80"/>
    <mergeCell ref="R80:S80"/>
    <mergeCell ref="U80:V80"/>
    <mergeCell ref="AB101:AC101"/>
    <mergeCell ref="AW101:AW103"/>
    <mergeCell ref="D102:D104"/>
    <mergeCell ref="F103:F105"/>
    <mergeCell ref="V103:W103"/>
    <mergeCell ref="AA103:AB103"/>
    <mergeCell ref="AK103:AL103"/>
    <mergeCell ref="AT103:AT105"/>
    <mergeCell ref="N105:O105"/>
    <mergeCell ref="T105:U105"/>
    <mergeCell ref="E119:G119"/>
    <mergeCell ref="E120:G120"/>
    <mergeCell ref="H121:I121"/>
    <mergeCell ref="AA105:AB105"/>
    <mergeCell ref="AC107:AD107"/>
    <mergeCell ref="L111:M111"/>
    <mergeCell ref="T111:U111"/>
    <mergeCell ref="AB111:AC111"/>
    <mergeCell ref="AI111:AJ111"/>
    <mergeCell ref="AN122:AO122"/>
    <mergeCell ref="J123:K123"/>
    <mergeCell ref="H126:I126"/>
    <mergeCell ref="K126:L126"/>
    <mergeCell ref="Q126:R126"/>
    <mergeCell ref="T126:U126"/>
    <mergeCell ref="X113:Y113"/>
    <mergeCell ref="J116:K116"/>
    <mergeCell ref="AI118:AJ118"/>
    <mergeCell ref="AG127:AH127"/>
    <mergeCell ref="E129:F129"/>
    <mergeCell ref="H129:I129"/>
    <mergeCell ref="M129:N129"/>
    <mergeCell ref="P129:Q129"/>
    <mergeCell ref="F132:G132"/>
    <mergeCell ref="L132:M132"/>
    <mergeCell ref="O132:Q132"/>
    <mergeCell ref="E122:G122"/>
    <mergeCell ref="I122:K122"/>
    <mergeCell ref="M122:O122"/>
    <mergeCell ref="E153:E155"/>
    <mergeCell ref="AI154:AK154"/>
    <mergeCell ref="AA155:AC156"/>
    <mergeCell ref="AD155:AD156"/>
    <mergeCell ref="AN155:AO155"/>
    <mergeCell ref="AQ155:AR155"/>
    <mergeCell ref="E133:F133"/>
    <mergeCell ref="B136:BB136"/>
    <mergeCell ref="Q138:R138"/>
    <mergeCell ref="G143:G145"/>
    <mergeCell ref="AO144:AP144"/>
    <mergeCell ref="F148:G148"/>
    <mergeCell ref="AG163:AH163"/>
    <mergeCell ref="AL163:AM163"/>
    <mergeCell ref="AO163:AP163"/>
    <mergeCell ref="AG165:AH165"/>
    <mergeCell ref="AJ165:AL165"/>
    <mergeCell ref="AN165:AO165"/>
    <mergeCell ref="AV155:AX155"/>
    <mergeCell ref="AI156:AK156"/>
    <mergeCell ref="G157:G159"/>
    <mergeCell ref="AP157:AQ157"/>
    <mergeCell ref="AI159:AJ159"/>
    <mergeCell ref="AG161:AH161"/>
    <mergeCell ref="AJ161:AK161"/>
    <mergeCell ref="AM161:AN161"/>
    <mergeCell ref="AK166:AL166"/>
    <mergeCell ref="AP166:AQ166"/>
    <mergeCell ref="R167:R169"/>
    <mergeCell ref="AR168:AT168"/>
    <mergeCell ref="M169:N169"/>
    <mergeCell ref="V169:W169"/>
    <mergeCell ref="AI169:AJ169"/>
    <mergeCell ref="AL169:AN169"/>
    <mergeCell ref="AP169:AR169"/>
    <mergeCell ref="D185:D187"/>
    <mergeCell ref="D188:D193"/>
    <mergeCell ref="F191:G191"/>
    <mergeCell ref="Q171:R171"/>
    <mergeCell ref="R174:S174"/>
    <mergeCell ref="Q179:R179"/>
    <mergeCell ref="T181:U181"/>
    <mergeCell ref="F182:G182"/>
    <mergeCell ref="P184:Q18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basamak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2021-03-16T14:18:55Z</dcterms:created>
  <dcterms:modified xsi:type="dcterms:W3CDTF">2022-01-30T08:22:16Z</dcterms:modified>
</cp:coreProperties>
</file>