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merdiven_hesaplari\"/>
    </mc:Choice>
  </mc:AlternateContent>
  <xr:revisionPtr revIDLastSave="0" documentId="13_ncr:1_{8989DC55-F0E8-4F4C-9DC4-40D562F3DA8E}" xr6:coauthVersionLast="46" xr6:coauthVersionMax="46" xr10:uidLastSave="{00000000-0000-0000-0000-000000000000}"/>
  <bookViews>
    <workbookView xWindow="-120" yWindow="-120" windowWidth="29040" windowHeight="15840" xr2:uid="{E40904C9-CDEA-41F8-8948-534D81946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8" i="1" l="1"/>
  <c r="U98" i="1" s="1"/>
  <c r="N96" i="1"/>
  <c r="AC79" i="1" s="1"/>
  <c r="I96" i="1"/>
  <c r="AK93" i="1"/>
  <c r="V94" i="1"/>
  <c r="Q100" i="1" s="1"/>
  <c r="M70" i="1"/>
  <c r="AC65" i="1"/>
  <c r="BI63" i="1"/>
  <c r="BI62" i="1" s="1"/>
  <c r="BM65" i="1" s="1"/>
  <c r="K55" i="1"/>
  <c r="K48" i="1"/>
  <c r="U48" i="1" s="1"/>
  <c r="N46" i="1"/>
  <c r="AC29" i="1" s="1"/>
  <c r="I46" i="1"/>
  <c r="AK43" i="1"/>
  <c r="V44" i="1"/>
  <c r="Q50" i="1" s="1"/>
  <c r="M19" i="1"/>
  <c r="AC14" i="1"/>
  <c r="BI12" i="1"/>
  <c r="BI11" i="1" s="1"/>
  <c r="BM14" i="1" s="1"/>
  <c r="K195" i="1"/>
  <c r="U195" i="1" s="1"/>
  <c r="N193" i="1"/>
  <c r="AC178" i="1" s="1"/>
  <c r="I193" i="1"/>
  <c r="V191" i="1"/>
  <c r="Q197" i="1" s="1"/>
  <c r="AK192" i="1"/>
  <c r="M169" i="1"/>
  <c r="AC164" i="1"/>
  <c r="BI162" i="1"/>
  <c r="BI164" i="1" s="1"/>
  <c r="K147" i="1"/>
  <c r="U147" i="1" s="1"/>
  <c r="N145" i="1"/>
  <c r="AC129" i="1" s="1"/>
  <c r="I145" i="1"/>
  <c r="AK143" i="1"/>
  <c r="V143" i="1"/>
  <c r="Y145" i="1" s="1"/>
  <c r="M120" i="1"/>
  <c r="AC115" i="1"/>
  <c r="BI113" i="1"/>
  <c r="BI115" i="1" s="1"/>
  <c r="K671" i="1"/>
  <c r="U671" i="1" s="1"/>
  <c r="N669" i="1"/>
  <c r="AC661" i="1" s="1"/>
  <c r="I669" i="1"/>
  <c r="AL668" i="1"/>
  <c r="V667" i="1"/>
  <c r="Q673" i="1" s="1"/>
  <c r="M658" i="1"/>
  <c r="AC653" i="1"/>
  <c r="BI651" i="1"/>
  <c r="BI653" i="1" s="1"/>
  <c r="K636" i="1"/>
  <c r="U636" i="1" s="1"/>
  <c r="N634" i="1"/>
  <c r="AC626" i="1" s="1"/>
  <c r="I634" i="1"/>
  <c r="AL632" i="1"/>
  <c r="V632" i="1"/>
  <c r="Q638" i="1" s="1"/>
  <c r="M623" i="1"/>
  <c r="AC618" i="1"/>
  <c r="BI616" i="1"/>
  <c r="BI618" i="1" s="1"/>
  <c r="K284" i="1"/>
  <c r="U284" i="1" s="1"/>
  <c r="N282" i="1"/>
  <c r="AC268" i="1" s="1"/>
  <c r="I282" i="1"/>
  <c r="AM278" i="1"/>
  <c r="V280" i="1"/>
  <c r="Q286" i="1" s="1"/>
  <c r="M262" i="1"/>
  <c r="AC257" i="1"/>
  <c r="BI255" i="1"/>
  <c r="BI257" i="1" s="1"/>
  <c r="K240" i="1"/>
  <c r="U240" i="1" s="1"/>
  <c r="N238" i="1"/>
  <c r="AC224" i="1" s="1"/>
  <c r="I238" i="1"/>
  <c r="AL236" i="1"/>
  <c r="V236" i="1"/>
  <c r="T238" i="1" s="1"/>
  <c r="M217" i="1"/>
  <c r="AC212" i="1"/>
  <c r="BI210" i="1"/>
  <c r="BI212" i="1" s="1"/>
  <c r="K369" i="1"/>
  <c r="U369" i="1" s="1"/>
  <c r="N367" i="1"/>
  <c r="AC355" i="1" s="1"/>
  <c r="I367" i="1"/>
  <c r="V365" i="1"/>
  <c r="Y367" i="1" s="1"/>
  <c r="AK366" i="1"/>
  <c r="M349" i="1"/>
  <c r="AC344" i="1"/>
  <c r="BI342" i="1"/>
  <c r="BI341" i="1" s="1"/>
  <c r="BM344" i="1" s="1"/>
  <c r="K327" i="1"/>
  <c r="U327" i="1" s="1"/>
  <c r="N325" i="1"/>
  <c r="AC312" i="1" s="1"/>
  <c r="I325" i="1"/>
  <c r="V323" i="1"/>
  <c r="Q329" i="1" s="1"/>
  <c r="AL324" i="1"/>
  <c r="M306" i="1"/>
  <c r="AC301" i="1"/>
  <c r="BI299" i="1"/>
  <c r="BI298" i="1" s="1"/>
  <c r="BM301" i="1" s="1"/>
  <c r="K601" i="1"/>
  <c r="U601" i="1" s="1"/>
  <c r="N599" i="1"/>
  <c r="AC590" i="1" s="1"/>
  <c r="I599" i="1"/>
  <c r="V597" i="1"/>
  <c r="Q603" i="1" s="1"/>
  <c r="AL597" i="1"/>
  <c r="M586" i="1"/>
  <c r="AC581" i="1"/>
  <c r="BI579" i="1"/>
  <c r="BI578" i="1" s="1"/>
  <c r="BM581" i="1" s="1"/>
  <c r="K564" i="1"/>
  <c r="U564" i="1" s="1"/>
  <c r="N562" i="1"/>
  <c r="I562" i="1"/>
  <c r="V560" i="1"/>
  <c r="Y562" i="1" s="1"/>
  <c r="AL560" i="1"/>
  <c r="M549" i="1"/>
  <c r="AC544" i="1"/>
  <c r="BI542" i="1"/>
  <c r="BI544" i="1" s="1"/>
  <c r="K527" i="1"/>
  <c r="U527" i="1" s="1"/>
  <c r="N525" i="1"/>
  <c r="AC516" i="1" s="1"/>
  <c r="I525" i="1"/>
  <c r="V523" i="1"/>
  <c r="Q529" i="1" s="1"/>
  <c r="AM524" i="1"/>
  <c r="M511" i="1"/>
  <c r="AC506" i="1"/>
  <c r="BI504" i="1"/>
  <c r="BI503" i="1" s="1"/>
  <c r="BM506" i="1" s="1"/>
  <c r="K489" i="1"/>
  <c r="U489" i="1" s="1"/>
  <c r="N487" i="1"/>
  <c r="AC478" i="1" s="1"/>
  <c r="I487" i="1"/>
  <c r="V485" i="1"/>
  <c r="Q491" i="1" s="1"/>
  <c r="AL483" i="1"/>
  <c r="M472" i="1"/>
  <c r="AC467" i="1"/>
  <c r="BI465" i="1"/>
  <c r="BI467" i="1" s="1"/>
  <c r="AL447" i="1"/>
  <c r="AL404" i="1"/>
  <c r="K608" i="1" l="1"/>
  <c r="K154" i="1"/>
  <c r="U154" i="1" s="1"/>
  <c r="P57" i="1"/>
  <c r="S70" i="1" s="1"/>
  <c r="AI60" i="1" s="1"/>
  <c r="S19" i="1"/>
  <c r="T96" i="1"/>
  <c r="Y96" i="1"/>
  <c r="C75" i="1"/>
  <c r="U55" i="1"/>
  <c r="BI65" i="1"/>
  <c r="BQ65" i="1" s="1"/>
  <c r="BV65" i="1" s="1"/>
  <c r="K202" i="1"/>
  <c r="U202" i="1" s="1"/>
  <c r="O6" i="1"/>
  <c r="T46" i="1"/>
  <c r="Y46" i="1"/>
  <c r="S6" i="1"/>
  <c r="BI14" i="1"/>
  <c r="BQ14" i="1" s="1"/>
  <c r="BV14" i="1" s="1"/>
  <c r="K4" i="1"/>
  <c r="K105" i="1"/>
  <c r="U105" i="1" s="1"/>
  <c r="BI161" i="1"/>
  <c r="BM164" i="1" s="1"/>
  <c r="BQ164" i="1" s="1"/>
  <c r="BV164" i="1" s="1"/>
  <c r="P156" i="1"/>
  <c r="T193" i="1"/>
  <c r="Y193" i="1"/>
  <c r="K291" i="1"/>
  <c r="U291" i="1" s="1"/>
  <c r="K247" i="1"/>
  <c r="U247" i="1" s="1"/>
  <c r="Q149" i="1"/>
  <c r="BI112" i="1"/>
  <c r="BM115" i="1" s="1"/>
  <c r="BQ115" i="1" s="1"/>
  <c r="BV115" i="1" s="1"/>
  <c r="T145" i="1"/>
  <c r="O107" i="1"/>
  <c r="S120" i="1"/>
  <c r="K643" i="1"/>
  <c r="U643" i="1" s="1"/>
  <c r="K334" i="1"/>
  <c r="U334" i="1" s="1"/>
  <c r="P645" i="1"/>
  <c r="S658" i="1" s="1"/>
  <c r="T669" i="1"/>
  <c r="Y669" i="1"/>
  <c r="O610" i="1"/>
  <c r="S610" i="1" s="1"/>
  <c r="BI650" i="1"/>
  <c r="BM653" i="1" s="1"/>
  <c r="BQ653" i="1" s="1"/>
  <c r="BV653" i="1" s="1"/>
  <c r="AE661" i="1"/>
  <c r="C656" i="1"/>
  <c r="BI615" i="1"/>
  <c r="BM618" i="1" s="1"/>
  <c r="BQ618" i="1" s="1"/>
  <c r="BV618" i="1" s="1"/>
  <c r="C621" i="1"/>
  <c r="AE626" i="1"/>
  <c r="S623" i="1"/>
  <c r="U608" i="1"/>
  <c r="T634" i="1"/>
  <c r="Y634" i="1"/>
  <c r="AE354" i="1"/>
  <c r="BI254" i="1"/>
  <c r="BM257" i="1" s="1"/>
  <c r="BQ257" i="1" s="1"/>
  <c r="BV257" i="1" s="1"/>
  <c r="T282" i="1"/>
  <c r="Y282" i="1"/>
  <c r="Q242" i="1"/>
  <c r="P249" i="1"/>
  <c r="Q371" i="1"/>
  <c r="P336" i="1"/>
  <c r="S349" i="1" s="1"/>
  <c r="AI339" i="1" s="1"/>
  <c r="BI209" i="1"/>
  <c r="BM212" i="1" s="1"/>
  <c r="BQ212" i="1" s="1"/>
  <c r="BV212" i="1" s="1"/>
  <c r="AE224" i="1"/>
  <c r="C219" i="1"/>
  <c r="O204" i="1"/>
  <c r="Y238" i="1"/>
  <c r="S217" i="1"/>
  <c r="P573" i="1"/>
  <c r="R573" i="1" s="1"/>
  <c r="K457" i="1"/>
  <c r="U457" i="1" s="1"/>
  <c r="C350" i="1"/>
  <c r="BI344" i="1"/>
  <c r="BQ344" i="1" s="1"/>
  <c r="BV344" i="1" s="1"/>
  <c r="T367" i="1"/>
  <c r="BI301" i="1"/>
  <c r="BQ301" i="1" s="1"/>
  <c r="BV301" i="1" s="1"/>
  <c r="AE311" i="1"/>
  <c r="C308" i="1"/>
  <c r="T325" i="1"/>
  <c r="Y325" i="1"/>
  <c r="O293" i="1"/>
  <c r="S306" i="1"/>
  <c r="BI541" i="1"/>
  <c r="BM544" i="1" s="1"/>
  <c r="BQ544" i="1" s="1"/>
  <c r="BV544" i="1" s="1"/>
  <c r="K571" i="1"/>
  <c r="U571" i="1" s="1"/>
  <c r="AC553" i="1"/>
  <c r="AE553" i="1" s="1"/>
  <c r="P498" i="1"/>
  <c r="R498" i="1" s="1"/>
  <c r="C585" i="1"/>
  <c r="BI581" i="1"/>
  <c r="BQ581" i="1" s="1"/>
  <c r="BV581" i="1" s="1"/>
  <c r="AE590" i="1"/>
  <c r="T599" i="1"/>
  <c r="Y599" i="1"/>
  <c r="S549" i="1"/>
  <c r="O536" i="1"/>
  <c r="S536" i="1" s="1"/>
  <c r="Q566" i="1"/>
  <c r="T562" i="1"/>
  <c r="K534" i="1"/>
  <c r="K496" i="1"/>
  <c r="U496" i="1" s="1"/>
  <c r="C510" i="1"/>
  <c r="BI506" i="1"/>
  <c r="BQ506" i="1" s="1"/>
  <c r="BV506" i="1" s="1"/>
  <c r="T525" i="1"/>
  <c r="Y525" i="1"/>
  <c r="AE516" i="1"/>
  <c r="BI464" i="1"/>
  <c r="BM467" i="1" s="1"/>
  <c r="BQ467" i="1" s="1"/>
  <c r="BV467" i="1" s="1"/>
  <c r="AE477" i="1"/>
  <c r="C472" i="1"/>
  <c r="T487" i="1"/>
  <c r="Y487" i="1"/>
  <c r="O459" i="1"/>
  <c r="S472" i="1"/>
  <c r="K450" i="1"/>
  <c r="U450" i="1" s="1"/>
  <c r="N448" i="1"/>
  <c r="I448" i="1"/>
  <c r="V446" i="1"/>
  <c r="Q452" i="1" s="1"/>
  <c r="M432" i="1"/>
  <c r="AC427" i="1"/>
  <c r="BI425" i="1"/>
  <c r="BI427" i="1" s="1"/>
  <c r="BI384" i="1"/>
  <c r="BI386" i="1" s="1"/>
  <c r="M391" i="1"/>
  <c r="AC386" i="1"/>
  <c r="I408" i="1"/>
  <c r="K410" i="1"/>
  <c r="U410" i="1" s="1"/>
  <c r="N408" i="1"/>
  <c r="V406" i="1"/>
  <c r="T408" i="1" s="1"/>
  <c r="R57" i="1" l="1"/>
  <c r="AH8" i="1"/>
  <c r="D91" i="1"/>
  <c r="D89" i="1" s="1"/>
  <c r="D41" i="1"/>
  <c r="S41" i="1" s="1"/>
  <c r="D38" i="1"/>
  <c r="S39" i="1" s="1"/>
  <c r="M57" i="1"/>
  <c r="S73" i="1"/>
  <c r="AE79" i="1"/>
  <c r="AE65" i="1" s="1"/>
  <c r="AE29" i="1"/>
  <c r="S21" i="1"/>
  <c r="K6" i="1" s="1"/>
  <c r="V6" i="1" s="1"/>
  <c r="U4" i="1"/>
  <c r="C25" i="1"/>
  <c r="AE178" i="1"/>
  <c r="R156" i="1"/>
  <c r="S169" i="1"/>
  <c r="C174" i="1"/>
  <c r="AE129" i="1"/>
  <c r="C125" i="1"/>
  <c r="AH109" i="1"/>
  <c r="S107" i="1"/>
  <c r="R645" i="1"/>
  <c r="AH611" i="1"/>
  <c r="D628" i="1" s="1"/>
  <c r="S630" i="1" s="1"/>
  <c r="AM647" i="1"/>
  <c r="S660" i="1" s="1"/>
  <c r="AE653" i="1"/>
  <c r="AE618" i="1"/>
  <c r="S586" i="1"/>
  <c r="AM575" i="1" s="1"/>
  <c r="R336" i="1"/>
  <c r="S262" i="1"/>
  <c r="AI252" i="1" s="1"/>
  <c r="R249" i="1"/>
  <c r="AE267" i="1"/>
  <c r="C264" i="1"/>
  <c r="AE212" i="1"/>
  <c r="S204" i="1"/>
  <c r="AH206" i="1"/>
  <c r="S219" i="1" s="1"/>
  <c r="C548" i="1"/>
  <c r="AE544" i="1" s="1"/>
  <c r="D362" i="1"/>
  <c r="S363" i="1" s="1"/>
  <c r="AE344" i="1"/>
  <c r="M336" i="1"/>
  <c r="T336" i="1" s="1"/>
  <c r="S351" i="1"/>
  <c r="S353" i="1" s="1"/>
  <c r="S354" i="1" s="1"/>
  <c r="S293" i="1"/>
  <c r="AH295" i="1"/>
  <c r="AE301" i="1"/>
  <c r="S511" i="1"/>
  <c r="AM500" i="1" s="1"/>
  <c r="D520" i="1" s="1"/>
  <c r="D517" i="1" s="1"/>
  <c r="D514" i="1" s="1"/>
  <c r="AE581" i="1"/>
  <c r="AH537" i="1"/>
  <c r="U534" i="1"/>
  <c r="BI424" i="1"/>
  <c r="BM427" i="1" s="1"/>
  <c r="BQ427" i="1" s="1"/>
  <c r="BV427" i="1" s="1"/>
  <c r="AE506" i="1"/>
  <c r="S459" i="1"/>
  <c r="AI461" i="1"/>
  <c r="AE467" i="1"/>
  <c r="S391" i="1"/>
  <c r="O378" i="1"/>
  <c r="S378" i="1" s="1"/>
  <c r="P419" i="1"/>
  <c r="S432" i="1" s="1"/>
  <c r="AC438" i="1"/>
  <c r="K417" i="1"/>
  <c r="U417" i="1" s="1"/>
  <c r="T448" i="1"/>
  <c r="Y448" i="1"/>
  <c r="BI383" i="1"/>
  <c r="BM386" i="1" s="1"/>
  <c r="BQ386" i="1" s="1"/>
  <c r="BV386" i="1" s="1"/>
  <c r="Y408" i="1"/>
  <c r="Q412" i="1"/>
  <c r="K376" i="1"/>
  <c r="U376" i="1" s="1"/>
  <c r="AC397" i="1"/>
  <c r="AE396" i="1" s="1"/>
  <c r="D86" i="1" l="1"/>
  <c r="S91" i="1"/>
  <c r="S89" i="1"/>
  <c r="D36" i="1"/>
  <c r="S75" i="1"/>
  <c r="T57" i="1"/>
  <c r="J57" i="1"/>
  <c r="X57" i="1" s="1"/>
  <c r="AE14" i="1"/>
  <c r="H6" i="1"/>
  <c r="Z6" i="1" s="1"/>
  <c r="S22" i="1"/>
  <c r="AI159" i="1"/>
  <c r="S172" i="1" s="1"/>
  <c r="D140" i="1"/>
  <c r="S140" i="1" s="1"/>
  <c r="D623" i="1"/>
  <c r="S629" i="1" s="1"/>
  <c r="AE164" i="1"/>
  <c r="S625" i="1"/>
  <c r="S627" i="1" s="1"/>
  <c r="AE115" i="1"/>
  <c r="S122" i="1"/>
  <c r="L645" i="1"/>
  <c r="D662" i="1"/>
  <c r="S665" i="1" s="1"/>
  <c r="S662" i="1"/>
  <c r="S663" i="1" s="1"/>
  <c r="D277" i="1"/>
  <c r="D274" i="1" s="1"/>
  <c r="S264" i="1"/>
  <c r="S266" i="1" s="1"/>
  <c r="M249" i="1"/>
  <c r="J249" i="1" s="1"/>
  <c r="X249" i="1" s="1"/>
  <c r="AE257" i="1"/>
  <c r="D233" i="1"/>
  <c r="S233" i="1" s="1"/>
  <c r="L498" i="1"/>
  <c r="H498" i="1" s="1"/>
  <c r="Y498" i="1" s="1"/>
  <c r="J336" i="1"/>
  <c r="X336" i="1" s="1"/>
  <c r="S221" i="1"/>
  <c r="S513" i="1"/>
  <c r="S515" i="1" s="1"/>
  <c r="S516" i="1" s="1"/>
  <c r="D359" i="1"/>
  <c r="D356" i="1" s="1"/>
  <c r="D352" i="1" s="1"/>
  <c r="D349" i="1" s="1"/>
  <c r="D320" i="1"/>
  <c r="S320" i="1" s="1"/>
  <c r="S308" i="1"/>
  <c r="D593" i="1"/>
  <c r="S595" i="1" s="1"/>
  <c r="D556" i="1"/>
  <c r="L573" i="1"/>
  <c r="S588" i="1"/>
  <c r="S551" i="1"/>
  <c r="S521" i="1"/>
  <c r="D482" i="1"/>
  <c r="S474" i="1"/>
  <c r="R419" i="1"/>
  <c r="AE437" i="1"/>
  <c r="AJ421" i="1"/>
  <c r="C432" i="1"/>
  <c r="AH383" i="1"/>
  <c r="D403" i="1" s="1"/>
  <c r="C392" i="1"/>
  <c r="AE386" i="1" s="1"/>
  <c r="S36" i="1" l="1"/>
  <c r="D33" i="1"/>
  <c r="S76" i="1"/>
  <c r="D83" i="1"/>
  <c r="D80" i="1" s="1"/>
  <c r="S87" i="1"/>
  <c r="G57" i="1"/>
  <c r="AA57" i="1" s="1"/>
  <c r="M156" i="1"/>
  <c r="D188" i="1"/>
  <c r="S188" i="1" s="1"/>
  <c r="D137" i="1"/>
  <c r="S138" i="1" s="1"/>
  <c r="S123" i="1"/>
  <c r="S174" i="1"/>
  <c r="K610" i="1"/>
  <c r="V610" i="1" s="1"/>
  <c r="S628" i="1"/>
  <c r="D618" i="1" s="1"/>
  <c r="D614" i="1" s="1"/>
  <c r="K107" i="1"/>
  <c r="S664" i="1"/>
  <c r="D656" i="1" s="1"/>
  <c r="U645" i="1"/>
  <c r="H645" i="1"/>
  <c r="Y645" i="1" s="1"/>
  <c r="D272" i="1"/>
  <c r="S277" i="1"/>
  <c r="S276" i="1" s="1"/>
  <c r="G336" i="1"/>
  <c r="AA336" i="1" s="1"/>
  <c r="G249" i="1"/>
  <c r="AA249" i="1" s="1"/>
  <c r="U498" i="1"/>
  <c r="T249" i="1"/>
  <c r="S267" i="1"/>
  <c r="D231" i="1"/>
  <c r="K204" i="1"/>
  <c r="D318" i="1"/>
  <c r="S318" i="1" s="1"/>
  <c r="S361" i="1"/>
  <c r="K293" i="1"/>
  <c r="S310" i="1"/>
  <c r="D589" i="1"/>
  <c r="K536" i="1"/>
  <c r="S558" i="1"/>
  <c r="D553" i="1"/>
  <c r="U573" i="1"/>
  <c r="H573" i="1"/>
  <c r="Y573" i="1" s="1"/>
  <c r="S590" i="1"/>
  <c r="S553" i="1"/>
  <c r="S520" i="1"/>
  <c r="S518" i="1" s="1"/>
  <c r="S517" i="1" s="1"/>
  <c r="S482" i="1"/>
  <c r="D479" i="1"/>
  <c r="D476" i="1" s="1"/>
  <c r="D472" i="1" s="1"/>
  <c r="K459" i="1"/>
  <c r="S476" i="1"/>
  <c r="M419" i="1"/>
  <c r="J419" i="1" s="1"/>
  <c r="X419" i="1" s="1"/>
  <c r="D442" i="1"/>
  <c r="D439" i="1" s="1"/>
  <c r="S434" i="1"/>
  <c r="AE427" i="1"/>
  <c r="D401" i="1"/>
  <c r="D398" i="1" s="1"/>
  <c r="D395" i="1" s="1"/>
  <c r="S393" i="1"/>
  <c r="K378" i="1" s="1"/>
  <c r="V378" i="1" s="1"/>
  <c r="S403" i="1"/>
  <c r="D185" i="1" l="1"/>
  <c r="D182" i="1" s="1"/>
  <c r="D179" i="1" s="1"/>
  <c r="D176" i="1" s="1"/>
  <c r="D77" i="1"/>
  <c r="D73" i="1" s="1"/>
  <c r="S85" i="1"/>
  <c r="S83" i="1" s="1"/>
  <c r="D30" i="1"/>
  <c r="S34" i="1"/>
  <c r="S32" i="1" s="1"/>
  <c r="T156" i="1"/>
  <c r="J156" i="1"/>
  <c r="X156" i="1" s="1"/>
  <c r="D134" i="1"/>
  <c r="D132" i="1" s="1"/>
  <c r="D129" i="1" s="1"/>
  <c r="D127" i="1" s="1"/>
  <c r="H610" i="1"/>
  <c r="Z610" i="1" s="1"/>
  <c r="S175" i="1"/>
  <c r="V107" i="1"/>
  <c r="H107" i="1"/>
  <c r="Z107" i="1" s="1"/>
  <c r="D651" i="1"/>
  <c r="D648" i="1" s="1"/>
  <c r="D269" i="1"/>
  <c r="D265" i="1" s="1"/>
  <c r="S274" i="1"/>
  <c r="S231" i="1"/>
  <c r="D229" i="1"/>
  <c r="V204" i="1"/>
  <c r="H204" i="1"/>
  <c r="Z204" i="1" s="1"/>
  <c r="D316" i="1"/>
  <c r="D313" i="1" s="1"/>
  <c r="S359" i="1"/>
  <c r="V293" i="1"/>
  <c r="H293" i="1"/>
  <c r="Z293" i="1" s="1"/>
  <c r="D549" i="1"/>
  <c r="S556" i="1"/>
  <c r="S591" i="1"/>
  <c r="S593" i="1"/>
  <c r="V536" i="1"/>
  <c r="H536" i="1"/>
  <c r="Z536" i="1" s="1"/>
  <c r="S481" i="1"/>
  <c r="S479" i="1" s="1"/>
  <c r="S478" i="1" s="1"/>
  <c r="S477" i="1" s="1"/>
  <c r="D467" i="1" s="1"/>
  <c r="V459" i="1"/>
  <c r="H459" i="1"/>
  <c r="Z459" i="1" s="1"/>
  <c r="S436" i="1"/>
  <c r="S444" i="1"/>
  <c r="S442" i="1" s="1"/>
  <c r="G419" i="1"/>
  <c r="AA419" i="1" s="1"/>
  <c r="D435" i="1"/>
  <c r="D432" i="1" s="1"/>
  <c r="T419" i="1"/>
  <c r="S395" i="1"/>
  <c r="H378" i="1"/>
  <c r="Z378" i="1" s="1"/>
  <c r="S401" i="1"/>
  <c r="S400" i="1" s="1"/>
  <c r="D391" i="1"/>
  <c r="S186" i="1" l="1"/>
  <c r="S184" i="1" s="1"/>
  <c r="S182" i="1" s="1"/>
  <c r="S180" i="1" s="1"/>
  <c r="D70" i="1"/>
  <c r="S81" i="1"/>
  <c r="D28" i="1"/>
  <c r="S30" i="1"/>
  <c r="D25" i="1"/>
  <c r="S79" i="1"/>
  <c r="S135" i="1"/>
  <c r="S133" i="1" s="1"/>
  <c r="S131" i="1" s="1"/>
  <c r="D172" i="1"/>
  <c r="D169" i="1" s="1"/>
  <c r="G156" i="1"/>
  <c r="AA156" i="1" s="1"/>
  <c r="D124" i="1"/>
  <c r="D120" i="1" s="1"/>
  <c r="S229" i="1"/>
  <c r="S272" i="1"/>
  <c r="S271" i="1" s="1"/>
  <c r="D262" i="1"/>
  <c r="D227" i="1"/>
  <c r="D224" i="1" s="1"/>
  <c r="S316" i="1"/>
  <c r="S315" i="1" s="1"/>
  <c r="S358" i="1"/>
  <c r="S356" i="1" s="1"/>
  <c r="S355" i="1" s="1"/>
  <c r="D344" i="1" s="1"/>
  <c r="D340" i="1" s="1"/>
  <c r="D310" i="1"/>
  <c r="D306" i="1" s="1"/>
  <c r="S592" i="1"/>
  <c r="D584" i="1" s="1"/>
  <c r="S555" i="1"/>
  <c r="S554" i="1" s="1"/>
  <c r="D544" i="1" s="1"/>
  <c r="D540" i="1" s="1"/>
  <c r="D509" i="1"/>
  <c r="S437" i="1"/>
  <c r="S441" i="1"/>
  <c r="S439" i="1" s="1"/>
  <c r="S398" i="1"/>
  <c r="S397" i="1" s="1"/>
  <c r="S396" i="1" s="1"/>
  <c r="D386" i="1" s="1"/>
  <c r="D382" i="1" s="1"/>
  <c r="S28" i="1" l="1"/>
  <c r="S178" i="1"/>
  <c r="S177" i="1" s="1"/>
  <c r="S176" i="1" s="1"/>
  <c r="D165" i="1" s="1"/>
  <c r="D161" i="1" s="1"/>
  <c r="S78" i="1"/>
  <c r="S77" i="1" s="1"/>
  <c r="D22" i="1"/>
  <c r="D19" i="1" s="1"/>
  <c r="S129" i="1"/>
  <c r="S127" i="1" s="1"/>
  <c r="S269" i="1"/>
  <c r="S268" i="1" s="1"/>
  <c r="D257" i="1" s="1"/>
  <c r="D253" i="1" s="1"/>
  <c r="S227" i="1"/>
  <c r="S226" i="1" s="1"/>
  <c r="D221" i="1"/>
  <c r="D217" i="1" s="1"/>
  <c r="D579" i="1"/>
  <c r="D576" i="1" s="1"/>
  <c r="S313" i="1"/>
  <c r="S312" i="1" s="1"/>
  <c r="D504" i="1"/>
  <c r="D501" i="1" s="1"/>
  <c r="D463" i="1"/>
  <c r="S438" i="1"/>
  <c r="D427" i="1" s="1"/>
  <c r="D423" i="1" s="1"/>
  <c r="S26" i="1" l="1"/>
  <c r="S24" i="1" s="1"/>
  <c r="S23" i="1" s="1"/>
  <c r="S125" i="1"/>
  <c r="S124" i="1" s="1"/>
  <c r="S224" i="1"/>
  <c r="S223" i="1" s="1"/>
  <c r="S222" i="1" s="1"/>
  <c r="D212" i="1" s="1"/>
  <c r="D208" i="1" s="1"/>
  <c r="S311" i="1"/>
  <c r="D301" i="1" l="1"/>
  <c r="D297" i="1" s="1"/>
  <c r="D115" i="1" l="1"/>
  <c r="D111" i="1" s="1"/>
  <c r="D14" i="1" l="1"/>
  <c r="D10" i="1" s="1"/>
  <c r="D66" i="1" l="1"/>
  <c r="D62" i="1" s="1"/>
</calcChain>
</file>

<file path=xl/sharedStrings.xml><?xml version="1.0" encoding="utf-8"?>
<sst xmlns="http://schemas.openxmlformats.org/spreadsheetml/2006/main" count="1124" uniqueCount="39">
  <si>
    <t>cm</t>
  </si>
  <si>
    <t>basamak genişliği  Bg =</t>
  </si>
  <si>
    <t>https://docplayer.biz.tr/35863393-Merdiven-hesabi-ve-dengelendirme.html</t>
  </si>
  <si>
    <t>basamak sayısı =</t>
  </si>
  <si>
    <t>adet</t>
  </si>
  <si>
    <t>Dikkat sadece sarı hücrelere data girilecek.</t>
  </si>
  <si>
    <t>Basamak yükseklik ve genişlik hesabı</t>
  </si>
  <si>
    <t>(Bh = basamak yüksekliği  ;  Bg = basamak genişliği)</t>
  </si>
  <si>
    <t>2 * Bh + Bg = 0,63 m.  olmalı.</t>
  </si>
  <si>
    <t>Bg =</t>
  </si>
  <si>
    <t>m</t>
  </si>
  <si>
    <t xml:space="preserve"> (yaklaşık ~ 0,27 m. olmalı)</t>
  </si>
  <si>
    <t>Bh =</t>
  </si>
  <si>
    <t xml:space="preserve"> (yaklaşık ~ 0,16 m. olmalı)</t>
  </si>
  <si>
    <t>basamak adedi =</t>
  </si>
  <si>
    <t>*</t>
  </si>
  <si>
    <t>+</t>
  </si>
  <si>
    <t>=</t>
  </si>
  <si>
    <t>kat yüksekliği =</t>
  </si>
  <si>
    <t>REFERANS:</t>
  </si>
  <si>
    <t>( - ) eksi çıkması durumunda data değiştir.</t>
  </si>
  <si>
    <t xml:space="preserve">Bh </t>
  </si>
  <si>
    <t>Bg basamak genişliği hesaplama</t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</si>
  <si>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(11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</si>
  <si>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(12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</si>
  <si>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(13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</si>
  <si>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(14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</si>
  <si>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(15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</si>
  <si>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(16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</si>
  <si>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(17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</si>
  <si>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(18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</si>
  <si>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(19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</si>
  <si>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(20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</si>
  <si>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(21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</si>
  <si>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(22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</si>
  <si>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(24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</si>
  <si>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(23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</si>
  <si>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(26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</si>
  <si>
    <r>
      <rPr>
        <b/>
        <sz val="11"/>
        <color theme="7" tint="-0.499984740745262"/>
        <rFont val="Arial"/>
        <family val="2"/>
        <charset val="162"/>
      </rPr>
      <t>YARDIMCI DOĞRU YÖNTEMİ İLE MERDİVEN BASAMAK APLİKASYONU (25 adet basamak)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</si>
</sst>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family val="2"/>
      <charset val="162"/>
    </font>
    <font>
      <u/>
      <sz val="8"/>
      <color theme="10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1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  <font>
      <i/>
      <u/>
      <sz val="8"/>
      <color theme="1"/>
      <name val="Arial"/>
      <family val="2"/>
      <charset val="162"/>
    </font>
    <font>
      <b/>
      <i/>
      <u/>
      <sz val="8"/>
      <color theme="1"/>
      <name val="Arial"/>
      <family val="2"/>
      <charset val="162"/>
    </font>
    <font>
      <sz val="8"/>
      <color theme="0"/>
      <name val="Arial"/>
      <family val="2"/>
      <charset val="162"/>
    </font>
    <font>
      <sz val="8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" fillId="0" borderId="0" xfId="1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3" xfId="0" applyFill="1" applyBorder="1" applyAlignment="1" applyProtection="1">
      <alignment vertical="center"/>
      <protection hidden="1"/>
    </xf>
    <xf numFmtId="0" fontId="0" fillId="0" borderId="4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5" xfId="0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0" fillId="0" borderId="8" xfId="0" applyFill="1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2" fillId="0" borderId="13" xfId="0" applyFont="1" applyFill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3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vertical="center"/>
      <protection hidden="1"/>
    </xf>
    <xf numFmtId="0" fontId="0" fillId="4" borderId="3" xfId="0" applyFill="1" applyBorder="1" applyAlignment="1" applyProtection="1">
      <alignment vertical="center"/>
      <protection hidden="1"/>
    </xf>
    <xf numFmtId="0" fontId="0" fillId="4" borderId="4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5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horizontal="left" vertical="center"/>
      <protection hidden="1"/>
    </xf>
    <xf numFmtId="0" fontId="0" fillId="4" borderId="6" xfId="0" applyFill="1" applyBorder="1" applyAlignment="1" applyProtection="1">
      <alignment vertical="center"/>
      <protection hidden="1"/>
    </xf>
    <xf numFmtId="0" fontId="0" fillId="4" borderId="7" xfId="0" applyFill="1" applyBorder="1" applyAlignment="1" applyProtection="1">
      <alignment vertical="center"/>
      <protection hidden="1"/>
    </xf>
    <xf numFmtId="0" fontId="0" fillId="4" borderId="8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vertical="center"/>
      <protection hidden="1"/>
    </xf>
    <xf numFmtId="0" fontId="8" fillId="0" borderId="3" xfId="0" applyFont="1" applyFill="1" applyBorder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0" fontId="8" fillId="0" borderId="5" xfId="0" applyFont="1" applyFill="1" applyBorder="1" applyAlignment="1" applyProtection="1">
      <alignment vertical="center"/>
      <protection hidden="1"/>
    </xf>
    <xf numFmtId="0" fontId="8" fillId="0" borderId="6" xfId="0" applyFont="1" applyFill="1" applyBorder="1" applyAlignment="1" applyProtection="1">
      <alignment vertical="center"/>
      <protection hidden="1"/>
    </xf>
    <xf numFmtId="0" fontId="8" fillId="0" borderId="8" xfId="0" applyFont="1" applyFill="1" applyBorder="1" applyAlignment="1" applyProtection="1">
      <alignment vertical="center"/>
      <protection hidden="1"/>
    </xf>
    <xf numFmtId="0" fontId="8" fillId="4" borderId="1" xfId="0" applyFont="1" applyFill="1" applyBorder="1" applyAlignment="1" applyProtection="1">
      <alignment vertical="center"/>
      <protection hidden="1"/>
    </xf>
    <xf numFmtId="0" fontId="8" fillId="4" borderId="2" xfId="0" applyFont="1" applyFill="1" applyBorder="1" applyAlignment="1" applyProtection="1">
      <alignment vertical="center"/>
      <protection hidden="1"/>
    </xf>
    <xf numFmtId="0" fontId="8" fillId="4" borderId="3" xfId="0" applyFont="1" applyFill="1" applyBorder="1" applyAlignment="1" applyProtection="1">
      <alignment vertical="center"/>
      <protection hidden="1"/>
    </xf>
    <xf numFmtId="0" fontId="8" fillId="4" borderId="4" xfId="0" applyFont="1" applyFill="1" applyBorder="1" applyAlignment="1" applyProtection="1">
      <alignment vertical="center"/>
      <protection hidden="1"/>
    </xf>
    <xf numFmtId="0" fontId="8" fillId="4" borderId="0" xfId="0" applyFont="1" applyFill="1" applyBorder="1" applyAlignment="1" applyProtection="1">
      <alignment vertical="center"/>
      <protection hidden="1"/>
    </xf>
    <xf numFmtId="0" fontId="8" fillId="4" borderId="5" xfId="0" applyFont="1" applyFill="1" applyBorder="1" applyAlignment="1" applyProtection="1">
      <alignment vertical="center"/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8" fillId="4" borderId="6" xfId="0" applyFont="1" applyFill="1" applyBorder="1" applyAlignment="1" applyProtection="1">
      <alignment vertical="center"/>
      <protection hidden="1"/>
    </xf>
    <xf numFmtId="0" fontId="8" fillId="4" borderId="7" xfId="0" applyFont="1" applyFill="1" applyBorder="1" applyAlignment="1" applyProtection="1">
      <alignment vertical="center"/>
      <protection hidden="1"/>
    </xf>
    <xf numFmtId="0" fontId="8" fillId="4" borderId="8" xfId="0" applyFont="1" applyFill="1" applyBorder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textRotation="90"/>
      <protection hidden="1"/>
    </xf>
    <xf numFmtId="0" fontId="0" fillId="4" borderId="4" xfId="0" applyFill="1" applyBorder="1" applyAlignment="1" applyProtection="1">
      <alignment horizontal="right" vertical="center"/>
      <protection hidden="1"/>
    </xf>
    <xf numFmtId="0" fontId="0" fillId="4" borderId="0" xfId="0" applyFill="1" applyBorder="1" applyAlignment="1" applyProtection="1">
      <alignment horizontal="righ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8" fillId="4" borderId="4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Border="1" applyAlignment="1" applyProtection="1">
      <alignment horizontal="right" vertical="center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horizontal="left" vertical="center"/>
      <protection hidden="1"/>
    </xf>
    <xf numFmtId="0" fontId="0" fillId="4" borderId="0" xfId="0" applyFill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43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15750</xdr:colOff>
      <xdr:row>15</xdr:row>
      <xdr:rowOff>123826</xdr:rowOff>
    </xdr:from>
    <xdr:to>
      <xdr:col>54</xdr:col>
      <xdr:colOff>79500</xdr:colOff>
      <xdr:row>24</xdr:row>
      <xdr:rowOff>66675</xdr:rowOff>
    </xdr:to>
    <xdr:pic>
      <xdr:nvPicPr>
        <xdr:cNvPr id="2993" name="Picture 2992">
          <a:extLst>
            <a:ext uri="{FF2B5EF4-FFF2-40B4-BE49-F238E27FC236}">
              <a16:creationId xmlns:a16="http://schemas.microsoft.com/office/drawing/2014/main" id="{638D941A-5084-4F14-9A07-E39843C325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95" t="20471" r="36865" b="46392"/>
        <a:stretch/>
      </xdr:blipFill>
      <xdr:spPr bwMode="auto">
        <a:xfrm>
          <a:off x="5197350" y="91554301"/>
          <a:ext cx="3626100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152401</xdr:colOff>
      <xdr:row>166</xdr:row>
      <xdr:rowOff>46483</xdr:rowOff>
    </xdr:from>
    <xdr:to>
      <xdr:col>54</xdr:col>
      <xdr:colOff>152400</xdr:colOff>
      <xdr:row>184</xdr:row>
      <xdr:rowOff>77343</xdr:rowOff>
    </xdr:to>
    <xdr:pic>
      <xdr:nvPicPr>
        <xdr:cNvPr id="2801" name="Picture 2800">
          <a:extLst>
            <a:ext uri="{FF2B5EF4-FFF2-40B4-BE49-F238E27FC236}">
              <a16:creationId xmlns:a16="http://schemas.microsoft.com/office/drawing/2014/main" id="{8081CB4F-02E9-48A6-9929-1B54F547C8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987" t="20766" r="50681" b="35493"/>
        <a:stretch/>
      </xdr:blipFill>
      <xdr:spPr bwMode="auto">
        <a:xfrm>
          <a:off x="5172076" y="84266533"/>
          <a:ext cx="3724274" cy="2602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104775</xdr:colOff>
      <xdr:row>382</xdr:row>
      <xdr:rowOff>47625</xdr:rowOff>
    </xdr:from>
    <xdr:to>
      <xdr:col>57</xdr:col>
      <xdr:colOff>142875</xdr:colOff>
      <xdr:row>382</xdr:row>
      <xdr:rowOff>66675</xdr:rowOff>
    </xdr:to>
    <xdr:cxnSp macro="">
      <xdr:nvCxnSpPr>
        <xdr:cNvPr id="926" name="Straight Arrow Connector 925">
          <a:extLst>
            <a:ext uri="{FF2B5EF4-FFF2-40B4-BE49-F238E27FC236}">
              <a16:creationId xmlns:a16="http://schemas.microsoft.com/office/drawing/2014/main" id="{E79F1B1E-A849-44F3-9F25-E1C666D4C4DE}"/>
            </a:ext>
          </a:extLst>
        </xdr:cNvPr>
        <xdr:cNvCxnSpPr/>
      </xdr:nvCxnSpPr>
      <xdr:spPr>
        <a:xfrm flipH="1" flipV="1">
          <a:off x="9010650" y="36595050"/>
          <a:ext cx="36195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133350</xdr:colOff>
      <xdr:row>421</xdr:row>
      <xdr:rowOff>104775</xdr:rowOff>
    </xdr:from>
    <xdr:to>
      <xdr:col>57</xdr:col>
      <xdr:colOff>142875</xdr:colOff>
      <xdr:row>423</xdr:row>
      <xdr:rowOff>66675</xdr:rowOff>
    </xdr:to>
    <xdr:cxnSp macro="">
      <xdr:nvCxnSpPr>
        <xdr:cNvPr id="805" name="Straight Arrow Connector 804">
          <a:extLst>
            <a:ext uri="{FF2B5EF4-FFF2-40B4-BE49-F238E27FC236}">
              <a16:creationId xmlns:a16="http://schemas.microsoft.com/office/drawing/2014/main" id="{951F6714-E680-4CC4-A523-4B5BEAF48BD6}"/>
            </a:ext>
          </a:extLst>
        </xdr:cNvPr>
        <xdr:cNvCxnSpPr/>
      </xdr:nvCxnSpPr>
      <xdr:spPr>
        <a:xfrm flipH="1" flipV="1">
          <a:off x="9039225" y="34928175"/>
          <a:ext cx="333375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85725</xdr:colOff>
      <xdr:row>403</xdr:row>
      <xdr:rowOff>66675</xdr:rowOff>
    </xdr:from>
    <xdr:to>
      <xdr:col>46</xdr:col>
      <xdr:colOff>8164</xdr:colOff>
      <xdr:row>409</xdr:row>
      <xdr:rowOff>1360</xdr:rowOff>
    </xdr:to>
    <xdr:grpSp>
      <xdr:nvGrpSpPr>
        <xdr:cNvPr id="300" name="Group 299">
          <a:extLst>
            <a:ext uri="{FF2B5EF4-FFF2-40B4-BE49-F238E27FC236}">
              <a16:creationId xmlns:a16="http://schemas.microsoft.com/office/drawing/2014/main" id="{8FD3BA71-C73B-40F1-8F6B-5EAC3B6D7474}"/>
            </a:ext>
          </a:extLst>
        </xdr:cNvPr>
        <xdr:cNvGrpSpPr/>
      </xdr:nvGrpSpPr>
      <xdr:grpSpPr>
        <a:xfrm>
          <a:off x="5753100" y="62093475"/>
          <a:ext cx="1703614" cy="791935"/>
          <a:chOff x="6076950" y="10163175"/>
          <a:chExt cx="1703614" cy="791935"/>
        </a:xfrm>
      </xdr:grpSpPr>
      <xdr:sp macro="" textlink="">
        <xdr:nvSpPr>
          <xdr:cNvPr id="301" name="Freeform: Shape 300">
            <a:extLst>
              <a:ext uri="{FF2B5EF4-FFF2-40B4-BE49-F238E27FC236}">
                <a16:creationId xmlns:a16="http://schemas.microsoft.com/office/drawing/2014/main" id="{DBA2E6CF-2AA3-41B7-B20B-25C1BC0F2EE5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02" name="Freeform: Shape 301">
            <a:extLst>
              <a:ext uri="{FF2B5EF4-FFF2-40B4-BE49-F238E27FC236}">
                <a16:creationId xmlns:a16="http://schemas.microsoft.com/office/drawing/2014/main" id="{C09B945F-A7BE-4449-B9E1-A371C092BF6E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03" name="Freeform: Shape 302">
            <a:extLst>
              <a:ext uri="{FF2B5EF4-FFF2-40B4-BE49-F238E27FC236}">
                <a16:creationId xmlns:a16="http://schemas.microsoft.com/office/drawing/2014/main" id="{86F59FDE-E80E-46E0-83A8-CE9BE854732E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04" name="Straight Connector 303">
            <a:extLst>
              <a:ext uri="{FF2B5EF4-FFF2-40B4-BE49-F238E27FC236}">
                <a16:creationId xmlns:a16="http://schemas.microsoft.com/office/drawing/2014/main" id="{0320CDAC-24CE-49FC-91F8-79294A09EBB2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Connector 304">
            <a:extLst>
              <a:ext uri="{FF2B5EF4-FFF2-40B4-BE49-F238E27FC236}">
                <a16:creationId xmlns:a16="http://schemas.microsoft.com/office/drawing/2014/main" id="{576C7913-3B39-41AE-932E-5B6A6F40493A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Connector 305">
            <a:extLst>
              <a:ext uri="{FF2B5EF4-FFF2-40B4-BE49-F238E27FC236}">
                <a16:creationId xmlns:a16="http://schemas.microsoft.com/office/drawing/2014/main" id="{2D4A91A2-F9EC-41E0-BBE5-98211B1A3ACA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Connector 306">
            <a:extLst>
              <a:ext uri="{FF2B5EF4-FFF2-40B4-BE49-F238E27FC236}">
                <a16:creationId xmlns:a16="http://schemas.microsoft.com/office/drawing/2014/main" id="{02F709A9-17D9-4590-946E-24A43DEFDCCC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Connector 307">
            <a:extLst>
              <a:ext uri="{FF2B5EF4-FFF2-40B4-BE49-F238E27FC236}">
                <a16:creationId xmlns:a16="http://schemas.microsoft.com/office/drawing/2014/main" id="{D70FBCCC-DC0C-4E9B-83A8-1CE739011F9F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Connector 308">
            <a:extLst>
              <a:ext uri="{FF2B5EF4-FFF2-40B4-BE49-F238E27FC236}">
                <a16:creationId xmlns:a16="http://schemas.microsoft.com/office/drawing/2014/main" id="{1325ABBE-F6AB-4C76-A499-CA0F2FA51F60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Connector 309">
            <a:extLst>
              <a:ext uri="{FF2B5EF4-FFF2-40B4-BE49-F238E27FC236}">
                <a16:creationId xmlns:a16="http://schemas.microsoft.com/office/drawing/2014/main" id="{0082E85F-D5F4-4C8A-80D8-700E81427020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Straight Connector 310">
            <a:extLst>
              <a:ext uri="{FF2B5EF4-FFF2-40B4-BE49-F238E27FC236}">
                <a16:creationId xmlns:a16="http://schemas.microsoft.com/office/drawing/2014/main" id="{F3B5DD25-A740-4774-B7CB-1009A4FCC8CC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" name="Straight Connector 311">
            <a:extLst>
              <a:ext uri="{FF2B5EF4-FFF2-40B4-BE49-F238E27FC236}">
                <a16:creationId xmlns:a16="http://schemas.microsoft.com/office/drawing/2014/main" id="{CCF0C702-8567-4170-B31E-8AF8663ABE03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Straight Connector 312">
            <a:extLst>
              <a:ext uri="{FF2B5EF4-FFF2-40B4-BE49-F238E27FC236}">
                <a16:creationId xmlns:a16="http://schemas.microsoft.com/office/drawing/2014/main" id="{FEF6BEE2-DD3C-4E26-B5FC-0AAFA2328D2D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4" name="Freeform: Shape 313">
            <a:extLst>
              <a:ext uri="{FF2B5EF4-FFF2-40B4-BE49-F238E27FC236}">
                <a16:creationId xmlns:a16="http://schemas.microsoft.com/office/drawing/2014/main" id="{3DECFE83-27BB-4313-9A25-D27CD1867B2C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416</xdr:row>
      <xdr:rowOff>61913</xdr:rowOff>
    </xdr:from>
    <xdr:to>
      <xdr:col>31</xdr:col>
      <xdr:colOff>90488</xdr:colOff>
      <xdr:row>452</xdr:row>
      <xdr:rowOff>85725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999E648F-7C84-48C2-8D03-3E92AE4B2366}"/>
            </a:ext>
          </a:extLst>
        </xdr:cNvPr>
        <xdr:cNvGrpSpPr/>
      </xdr:nvGrpSpPr>
      <xdr:grpSpPr>
        <a:xfrm>
          <a:off x="395288" y="64441388"/>
          <a:ext cx="4714875" cy="5167312"/>
          <a:chOff x="719138" y="7329488"/>
          <a:chExt cx="4714875" cy="5167312"/>
        </a:xfrm>
      </xdr:grpSpPr>
      <xdr:cxnSp macro="">
        <xdr:nvCxnSpPr>
          <xdr:cNvPr id="808" name="Straight Connector 807">
            <a:extLst>
              <a:ext uri="{FF2B5EF4-FFF2-40B4-BE49-F238E27FC236}">
                <a16:creationId xmlns:a16="http://schemas.microsoft.com/office/drawing/2014/main" id="{CA4E3032-9E0D-4331-920E-14141E6F99FE}"/>
              </a:ext>
            </a:extLst>
          </xdr:cNvPr>
          <xdr:cNvCxnSpPr/>
        </xdr:nvCxnSpPr>
        <xdr:spPr>
          <a:xfrm flipH="1">
            <a:off x="3081338" y="7986713"/>
            <a:ext cx="319087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" name="Straight Connector 809">
            <a:extLst>
              <a:ext uri="{FF2B5EF4-FFF2-40B4-BE49-F238E27FC236}">
                <a16:creationId xmlns:a16="http://schemas.microsoft.com/office/drawing/2014/main" id="{C837938F-D403-4B0B-84FF-9D53B7C0D033}"/>
              </a:ext>
            </a:extLst>
          </xdr:cNvPr>
          <xdr:cNvCxnSpPr/>
        </xdr:nvCxnSpPr>
        <xdr:spPr>
          <a:xfrm>
            <a:off x="2262188" y="7991475"/>
            <a:ext cx="809625" cy="1975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Straight Connector 840">
            <a:extLst>
              <a:ext uri="{FF2B5EF4-FFF2-40B4-BE49-F238E27FC236}">
                <a16:creationId xmlns:a16="http://schemas.microsoft.com/office/drawing/2014/main" id="{78FA2CBA-6292-4312-B508-DBEA6338F98B}"/>
              </a:ext>
            </a:extLst>
          </xdr:cNvPr>
          <xdr:cNvCxnSpPr/>
        </xdr:nvCxnSpPr>
        <xdr:spPr>
          <a:xfrm>
            <a:off x="1457325" y="8582025"/>
            <a:ext cx="1624013" cy="17002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2" name="Straight Connector 841">
            <a:extLst>
              <a:ext uri="{FF2B5EF4-FFF2-40B4-BE49-F238E27FC236}">
                <a16:creationId xmlns:a16="http://schemas.microsoft.com/office/drawing/2014/main" id="{10081B3E-FA5C-47AE-8F80-BC6EB3E7DF06}"/>
              </a:ext>
            </a:extLst>
          </xdr:cNvPr>
          <xdr:cNvCxnSpPr/>
        </xdr:nvCxnSpPr>
        <xdr:spPr>
          <a:xfrm>
            <a:off x="1462088" y="9172575"/>
            <a:ext cx="1614487" cy="124659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2" name="Straight Connector 871">
            <a:extLst>
              <a:ext uri="{FF2B5EF4-FFF2-40B4-BE49-F238E27FC236}">
                <a16:creationId xmlns:a16="http://schemas.microsoft.com/office/drawing/2014/main" id="{C06880EE-467D-4589-A27F-BDCE995B3DD7}"/>
              </a:ext>
            </a:extLst>
          </xdr:cNvPr>
          <xdr:cNvCxnSpPr/>
        </xdr:nvCxnSpPr>
        <xdr:spPr>
          <a:xfrm>
            <a:off x="1466850" y="10186988"/>
            <a:ext cx="1604963" cy="690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4" name="Straight Connector 873">
            <a:extLst>
              <a:ext uri="{FF2B5EF4-FFF2-40B4-BE49-F238E27FC236}">
                <a16:creationId xmlns:a16="http://schemas.microsoft.com/office/drawing/2014/main" id="{E0466455-126D-42A3-93AC-3B8DD5D7C8B5}"/>
              </a:ext>
            </a:extLst>
          </xdr:cNvPr>
          <xdr:cNvCxnSpPr/>
        </xdr:nvCxnSpPr>
        <xdr:spPr>
          <a:xfrm>
            <a:off x="1466850" y="10672763"/>
            <a:ext cx="1604963" cy="381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5" name="Straight Connector 874">
            <a:extLst>
              <a:ext uri="{FF2B5EF4-FFF2-40B4-BE49-F238E27FC236}">
                <a16:creationId xmlns:a16="http://schemas.microsoft.com/office/drawing/2014/main" id="{4D026BE9-3ECE-4FF3-AC41-0C0900C7CCF0}"/>
              </a:ext>
            </a:extLst>
          </xdr:cNvPr>
          <xdr:cNvCxnSpPr/>
        </xdr:nvCxnSpPr>
        <xdr:spPr>
          <a:xfrm flipV="1">
            <a:off x="3076575" y="10682288"/>
            <a:ext cx="1619250" cy="372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6" name="Straight Connector 875">
            <a:extLst>
              <a:ext uri="{FF2B5EF4-FFF2-40B4-BE49-F238E27FC236}">
                <a16:creationId xmlns:a16="http://schemas.microsoft.com/office/drawing/2014/main" id="{90C161AF-DD45-48E2-9DC7-74727C9F12CB}"/>
              </a:ext>
            </a:extLst>
          </xdr:cNvPr>
          <xdr:cNvCxnSpPr/>
        </xdr:nvCxnSpPr>
        <xdr:spPr>
          <a:xfrm flipV="1">
            <a:off x="3071813" y="9667875"/>
            <a:ext cx="1624012" cy="99116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Straight Connector 876">
            <a:extLst>
              <a:ext uri="{FF2B5EF4-FFF2-40B4-BE49-F238E27FC236}">
                <a16:creationId xmlns:a16="http://schemas.microsoft.com/office/drawing/2014/main" id="{3DEA013E-C9F1-4717-90EA-D3117E1C1AF4}"/>
              </a:ext>
            </a:extLst>
          </xdr:cNvPr>
          <xdr:cNvCxnSpPr/>
        </xdr:nvCxnSpPr>
        <xdr:spPr>
          <a:xfrm flipV="1">
            <a:off x="3076575" y="9158288"/>
            <a:ext cx="1624013" cy="125994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8" name="Straight Connector 877">
            <a:extLst>
              <a:ext uri="{FF2B5EF4-FFF2-40B4-BE49-F238E27FC236}">
                <a16:creationId xmlns:a16="http://schemas.microsoft.com/office/drawing/2014/main" id="{94377B28-B0CC-40B8-8D9E-8972C53137F5}"/>
              </a:ext>
            </a:extLst>
          </xdr:cNvPr>
          <xdr:cNvCxnSpPr/>
        </xdr:nvCxnSpPr>
        <xdr:spPr>
          <a:xfrm flipV="1">
            <a:off x="3081338" y="8586788"/>
            <a:ext cx="1619250" cy="169114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9" name="Straight Connector 878">
            <a:extLst>
              <a:ext uri="{FF2B5EF4-FFF2-40B4-BE49-F238E27FC236}">
                <a16:creationId xmlns:a16="http://schemas.microsoft.com/office/drawing/2014/main" id="{0A272FA5-1981-4B00-AB2D-A9521C8C8264}"/>
              </a:ext>
            </a:extLst>
          </xdr:cNvPr>
          <xdr:cNvCxnSpPr/>
        </xdr:nvCxnSpPr>
        <xdr:spPr>
          <a:xfrm flipH="1">
            <a:off x="3081148" y="7986713"/>
            <a:ext cx="814577" cy="1985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Straight Connector 879">
            <a:extLst>
              <a:ext uri="{FF2B5EF4-FFF2-40B4-BE49-F238E27FC236}">
                <a16:creationId xmlns:a16="http://schemas.microsoft.com/office/drawing/2014/main" id="{C6C2D171-9D72-42A1-B26D-BC269A56E6BF}"/>
              </a:ext>
            </a:extLst>
          </xdr:cNvPr>
          <xdr:cNvCxnSpPr/>
        </xdr:nvCxnSpPr>
        <xdr:spPr>
          <a:xfrm flipV="1">
            <a:off x="3148013" y="7986713"/>
            <a:ext cx="252412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1" name="Straight Connector 880">
            <a:extLst>
              <a:ext uri="{FF2B5EF4-FFF2-40B4-BE49-F238E27FC236}">
                <a16:creationId xmlns:a16="http://schemas.microsoft.com/office/drawing/2014/main" id="{052AC7FB-E2C5-4628-96FF-F5F419A00F96}"/>
              </a:ext>
            </a:extLst>
          </xdr:cNvPr>
          <xdr:cNvCxnSpPr/>
        </xdr:nvCxnSpPr>
        <xdr:spPr>
          <a:xfrm flipV="1">
            <a:off x="3081338" y="10191750"/>
            <a:ext cx="1614487" cy="686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2" name="Straight Connector 881">
            <a:extLst>
              <a:ext uri="{FF2B5EF4-FFF2-40B4-BE49-F238E27FC236}">
                <a16:creationId xmlns:a16="http://schemas.microsoft.com/office/drawing/2014/main" id="{C3E5A89B-46B8-4B13-AA06-36DD4A49B547}"/>
              </a:ext>
            </a:extLst>
          </xdr:cNvPr>
          <xdr:cNvCxnSpPr/>
        </xdr:nvCxnSpPr>
        <xdr:spPr>
          <a:xfrm flipV="1">
            <a:off x="3076575" y="7843838"/>
            <a:ext cx="0" cy="436245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Straight Connector 882">
            <a:extLst>
              <a:ext uri="{FF2B5EF4-FFF2-40B4-BE49-F238E27FC236}">
                <a16:creationId xmlns:a16="http://schemas.microsoft.com/office/drawing/2014/main" id="{8832D387-602D-4D60-BF21-D4A04E60DFE5}"/>
              </a:ext>
            </a:extLst>
          </xdr:cNvPr>
          <xdr:cNvCxnSpPr/>
        </xdr:nvCxnSpPr>
        <xdr:spPr>
          <a:xfrm>
            <a:off x="2747963" y="7996238"/>
            <a:ext cx="333375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4" name="Straight Connector 883">
            <a:extLst>
              <a:ext uri="{FF2B5EF4-FFF2-40B4-BE49-F238E27FC236}">
                <a16:creationId xmlns:a16="http://schemas.microsoft.com/office/drawing/2014/main" id="{80434D6F-EE12-4BF9-9D2C-62441C6CF424}"/>
              </a:ext>
            </a:extLst>
          </xdr:cNvPr>
          <xdr:cNvCxnSpPr/>
        </xdr:nvCxnSpPr>
        <xdr:spPr>
          <a:xfrm>
            <a:off x="1619250" y="7986713"/>
            <a:ext cx="1462088" cy="2147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5" name="Straight Connector 884">
            <a:extLst>
              <a:ext uri="{FF2B5EF4-FFF2-40B4-BE49-F238E27FC236}">
                <a16:creationId xmlns:a16="http://schemas.microsoft.com/office/drawing/2014/main" id="{75CDB597-CE5E-454B-91A7-4AE1EE7AA810}"/>
              </a:ext>
            </a:extLst>
          </xdr:cNvPr>
          <xdr:cNvCxnSpPr/>
        </xdr:nvCxnSpPr>
        <xdr:spPr>
          <a:xfrm flipV="1">
            <a:off x="3086100" y="7996238"/>
            <a:ext cx="1447800" cy="2133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7" name="Straight Connector 886">
            <a:extLst>
              <a:ext uri="{FF2B5EF4-FFF2-40B4-BE49-F238E27FC236}">
                <a16:creationId xmlns:a16="http://schemas.microsoft.com/office/drawing/2014/main" id="{876748C5-3B20-43CE-8549-B5DB0CE5EA2D}"/>
              </a:ext>
            </a:extLst>
          </xdr:cNvPr>
          <xdr:cNvCxnSpPr/>
        </xdr:nvCxnSpPr>
        <xdr:spPr>
          <a:xfrm flipH="1" flipV="1">
            <a:off x="2743200" y="7977188"/>
            <a:ext cx="266701" cy="14335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8" name="Straight Connector 887">
            <a:extLst>
              <a:ext uri="{FF2B5EF4-FFF2-40B4-BE49-F238E27FC236}">
                <a16:creationId xmlns:a16="http://schemas.microsoft.com/office/drawing/2014/main" id="{0B083182-74E6-4B64-9F20-D3D4CF9E16E3}"/>
              </a:ext>
            </a:extLst>
          </xdr:cNvPr>
          <xdr:cNvCxnSpPr/>
        </xdr:nvCxnSpPr>
        <xdr:spPr>
          <a:xfrm flipH="1" flipV="1">
            <a:off x="2252665" y="7986714"/>
            <a:ext cx="667537" cy="160019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6" name="Straight Connector 895">
            <a:extLst>
              <a:ext uri="{FF2B5EF4-FFF2-40B4-BE49-F238E27FC236}">
                <a16:creationId xmlns:a16="http://schemas.microsoft.com/office/drawing/2014/main" id="{3E55AB62-3111-4255-BA2E-8FA540EA0149}"/>
              </a:ext>
            </a:extLst>
          </xdr:cNvPr>
          <xdr:cNvCxnSpPr/>
        </xdr:nvCxnSpPr>
        <xdr:spPr>
          <a:xfrm flipH="1">
            <a:off x="3238500" y="7986713"/>
            <a:ext cx="657225" cy="159543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5" name="Straight Connector 904">
            <a:extLst>
              <a:ext uri="{FF2B5EF4-FFF2-40B4-BE49-F238E27FC236}">
                <a16:creationId xmlns:a16="http://schemas.microsoft.com/office/drawing/2014/main" id="{F3FF39DC-8AD7-4B81-B26D-AB955A7AD85C}"/>
              </a:ext>
            </a:extLst>
          </xdr:cNvPr>
          <xdr:cNvCxnSpPr/>
        </xdr:nvCxnSpPr>
        <xdr:spPr>
          <a:xfrm flipH="1" flipV="1">
            <a:off x="1619251" y="7986714"/>
            <a:ext cx="1300162" cy="190023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7" name="Straight Connector 926">
            <a:extLst>
              <a:ext uri="{FF2B5EF4-FFF2-40B4-BE49-F238E27FC236}">
                <a16:creationId xmlns:a16="http://schemas.microsoft.com/office/drawing/2014/main" id="{A31BC565-CD80-4FF3-ABAD-418D18C72B22}"/>
              </a:ext>
            </a:extLst>
          </xdr:cNvPr>
          <xdr:cNvCxnSpPr/>
        </xdr:nvCxnSpPr>
        <xdr:spPr>
          <a:xfrm flipH="1">
            <a:off x="3238500" y="7986713"/>
            <a:ext cx="1295401" cy="19192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Straight Connector 930">
            <a:extLst>
              <a:ext uri="{FF2B5EF4-FFF2-40B4-BE49-F238E27FC236}">
                <a16:creationId xmlns:a16="http://schemas.microsoft.com/office/drawing/2014/main" id="{7EB92ABE-47F9-4BCF-B267-6C08B4642AD1}"/>
              </a:ext>
            </a:extLst>
          </xdr:cNvPr>
          <xdr:cNvCxnSpPr/>
        </xdr:nvCxnSpPr>
        <xdr:spPr>
          <a:xfrm flipH="1" flipV="1">
            <a:off x="1452563" y="8572500"/>
            <a:ext cx="1457325" cy="15335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2" name="Straight Connector 931">
            <a:extLst>
              <a:ext uri="{FF2B5EF4-FFF2-40B4-BE49-F238E27FC236}">
                <a16:creationId xmlns:a16="http://schemas.microsoft.com/office/drawing/2014/main" id="{A67F5B20-FD92-441C-825F-61B94C86A8DB}"/>
              </a:ext>
            </a:extLst>
          </xdr:cNvPr>
          <xdr:cNvCxnSpPr/>
        </xdr:nvCxnSpPr>
        <xdr:spPr>
          <a:xfrm flipH="1">
            <a:off x="3238500" y="8582025"/>
            <a:ext cx="1466850" cy="15382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3" name="Straight Connector 932">
            <a:extLst>
              <a:ext uri="{FF2B5EF4-FFF2-40B4-BE49-F238E27FC236}">
                <a16:creationId xmlns:a16="http://schemas.microsoft.com/office/drawing/2014/main" id="{CC8BE3A5-0305-4416-AE57-9A3F5F7B79E7}"/>
              </a:ext>
            </a:extLst>
          </xdr:cNvPr>
          <xdr:cNvCxnSpPr/>
        </xdr:nvCxnSpPr>
        <xdr:spPr>
          <a:xfrm flipH="1" flipV="1">
            <a:off x="1457326" y="9167814"/>
            <a:ext cx="1462087" cy="112394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4" name="Straight Connector 933">
            <a:extLst>
              <a:ext uri="{FF2B5EF4-FFF2-40B4-BE49-F238E27FC236}">
                <a16:creationId xmlns:a16="http://schemas.microsoft.com/office/drawing/2014/main" id="{0C50E959-BEFB-479C-BC1A-1ED64CC5AB72}"/>
              </a:ext>
            </a:extLst>
          </xdr:cNvPr>
          <xdr:cNvCxnSpPr/>
        </xdr:nvCxnSpPr>
        <xdr:spPr>
          <a:xfrm flipH="1">
            <a:off x="3243263" y="9158288"/>
            <a:ext cx="1452563" cy="11287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5" name="Straight Connector 934">
            <a:extLst>
              <a:ext uri="{FF2B5EF4-FFF2-40B4-BE49-F238E27FC236}">
                <a16:creationId xmlns:a16="http://schemas.microsoft.com/office/drawing/2014/main" id="{DF118921-008E-4833-ACA4-35909BD83F4C}"/>
              </a:ext>
            </a:extLst>
          </xdr:cNvPr>
          <xdr:cNvCxnSpPr/>
        </xdr:nvCxnSpPr>
        <xdr:spPr>
          <a:xfrm flipH="1" flipV="1">
            <a:off x="1457325" y="9653588"/>
            <a:ext cx="1447800" cy="9001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6" name="Straight Connector 935">
            <a:extLst>
              <a:ext uri="{FF2B5EF4-FFF2-40B4-BE49-F238E27FC236}">
                <a16:creationId xmlns:a16="http://schemas.microsoft.com/office/drawing/2014/main" id="{753D850A-80BE-4ED5-9E46-F6B95CE7CC5A}"/>
              </a:ext>
            </a:extLst>
          </xdr:cNvPr>
          <xdr:cNvCxnSpPr/>
        </xdr:nvCxnSpPr>
        <xdr:spPr>
          <a:xfrm flipH="1">
            <a:off x="3248025" y="9667875"/>
            <a:ext cx="1452564" cy="8905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7" name="Straight Connector 936">
            <a:extLst>
              <a:ext uri="{FF2B5EF4-FFF2-40B4-BE49-F238E27FC236}">
                <a16:creationId xmlns:a16="http://schemas.microsoft.com/office/drawing/2014/main" id="{84493919-44BA-4D5E-A5A8-04FF54AE32E8}"/>
              </a:ext>
            </a:extLst>
          </xdr:cNvPr>
          <xdr:cNvCxnSpPr/>
        </xdr:nvCxnSpPr>
        <xdr:spPr>
          <a:xfrm flipH="1" flipV="1">
            <a:off x="1457326" y="10186988"/>
            <a:ext cx="1457324" cy="6286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8" name="Straight Connector 937">
            <a:extLst>
              <a:ext uri="{FF2B5EF4-FFF2-40B4-BE49-F238E27FC236}">
                <a16:creationId xmlns:a16="http://schemas.microsoft.com/office/drawing/2014/main" id="{13500D99-850A-4575-BFEA-B5B97916967E}"/>
              </a:ext>
            </a:extLst>
          </xdr:cNvPr>
          <xdr:cNvCxnSpPr/>
        </xdr:nvCxnSpPr>
        <xdr:spPr>
          <a:xfrm flipH="1">
            <a:off x="3233738" y="10186988"/>
            <a:ext cx="1466851" cy="6286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9" name="Straight Connector 938">
            <a:extLst>
              <a:ext uri="{FF2B5EF4-FFF2-40B4-BE49-F238E27FC236}">
                <a16:creationId xmlns:a16="http://schemas.microsoft.com/office/drawing/2014/main" id="{2D24B111-3AF2-4AEC-BF9F-28CCDC6D938A}"/>
              </a:ext>
            </a:extLst>
          </xdr:cNvPr>
          <xdr:cNvCxnSpPr/>
        </xdr:nvCxnSpPr>
        <xdr:spPr>
          <a:xfrm flipH="1" flipV="1">
            <a:off x="1457325" y="10672763"/>
            <a:ext cx="1466850" cy="3429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Straight Connector 939">
            <a:extLst>
              <a:ext uri="{FF2B5EF4-FFF2-40B4-BE49-F238E27FC236}">
                <a16:creationId xmlns:a16="http://schemas.microsoft.com/office/drawing/2014/main" id="{82352290-2248-45CA-9689-61876EF8C47A}"/>
              </a:ext>
            </a:extLst>
          </xdr:cNvPr>
          <xdr:cNvCxnSpPr/>
        </xdr:nvCxnSpPr>
        <xdr:spPr>
          <a:xfrm flipH="1">
            <a:off x="3243263" y="10682288"/>
            <a:ext cx="1452563" cy="3333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1" name="Straight Connector 940">
            <a:extLst>
              <a:ext uri="{FF2B5EF4-FFF2-40B4-BE49-F238E27FC236}">
                <a16:creationId xmlns:a16="http://schemas.microsoft.com/office/drawing/2014/main" id="{C60E0C4D-94BC-4E6D-AA15-AED4FD69297B}"/>
              </a:ext>
            </a:extLst>
          </xdr:cNvPr>
          <xdr:cNvCxnSpPr/>
        </xdr:nvCxnSpPr>
        <xdr:spPr>
          <a:xfrm>
            <a:off x="1390649" y="12125325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2" name="Straight Connector 941">
            <a:extLst>
              <a:ext uri="{FF2B5EF4-FFF2-40B4-BE49-F238E27FC236}">
                <a16:creationId xmlns:a16="http://schemas.microsoft.com/office/drawing/2014/main" id="{4CACAD2F-0FD0-4A51-AB0D-CE1B7BF96EFA}"/>
              </a:ext>
            </a:extLst>
          </xdr:cNvPr>
          <xdr:cNvCxnSpPr/>
        </xdr:nvCxnSpPr>
        <xdr:spPr>
          <a:xfrm>
            <a:off x="1457325" y="11315700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3" name="Straight Connector 942">
            <a:extLst>
              <a:ext uri="{FF2B5EF4-FFF2-40B4-BE49-F238E27FC236}">
                <a16:creationId xmlns:a16="http://schemas.microsoft.com/office/drawing/2014/main" id="{76D5CC2C-FA14-4F58-A935-DF62810CB9C6}"/>
              </a:ext>
            </a:extLst>
          </xdr:cNvPr>
          <xdr:cNvCxnSpPr/>
        </xdr:nvCxnSpPr>
        <xdr:spPr>
          <a:xfrm flipH="1">
            <a:off x="1414463" y="120872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4" name="Straight Connector 943">
            <a:extLst>
              <a:ext uri="{FF2B5EF4-FFF2-40B4-BE49-F238E27FC236}">
                <a16:creationId xmlns:a16="http://schemas.microsoft.com/office/drawing/2014/main" id="{C471CD3D-4153-4421-8F39-A85688E579AA}"/>
              </a:ext>
            </a:extLst>
          </xdr:cNvPr>
          <xdr:cNvCxnSpPr/>
        </xdr:nvCxnSpPr>
        <xdr:spPr>
          <a:xfrm>
            <a:off x="4695825" y="11315700"/>
            <a:ext cx="0" cy="1181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5" name="Straight Connector 944">
            <a:extLst>
              <a:ext uri="{FF2B5EF4-FFF2-40B4-BE49-F238E27FC236}">
                <a16:creationId xmlns:a16="http://schemas.microsoft.com/office/drawing/2014/main" id="{6468D771-4DDC-4E08-85A6-F88638471BD0}"/>
              </a:ext>
            </a:extLst>
          </xdr:cNvPr>
          <xdr:cNvCxnSpPr/>
        </xdr:nvCxnSpPr>
        <xdr:spPr>
          <a:xfrm flipH="1">
            <a:off x="4652963" y="120872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6" name="Straight Connector 945">
            <a:extLst>
              <a:ext uri="{FF2B5EF4-FFF2-40B4-BE49-F238E27FC236}">
                <a16:creationId xmlns:a16="http://schemas.microsoft.com/office/drawing/2014/main" id="{FCFBC114-5B69-4A2B-A025-7BF8D545CCA1}"/>
              </a:ext>
            </a:extLst>
          </xdr:cNvPr>
          <xdr:cNvCxnSpPr/>
        </xdr:nvCxnSpPr>
        <xdr:spPr>
          <a:xfrm flipH="1">
            <a:off x="3033712" y="1208722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7" name="Straight Connector 946">
            <a:extLst>
              <a:ext uri="{FF2B5EF4-FFF2-40B4-BE49-F238E27FC236}">
                <a16:creationId xmlns:a16="http://schemas.microsoft.com/office/drawing/2014/main" id="{C0A94CD1-9AC2-45B7-A29E-59C47BA2845A}"/>
              </a:ext>
            </a:extLst>
          </xdr:cNvPr>
          <xdr:cNvCxnSpPr/>
        </xdr:nvCxnSpPr>
        <xdr:spPr>
          <a:xfrm>
            <a:off x="1390650" y="11553825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8" name="Straight Connector 947">
            <a:extLst>
              <a:ext uri="{FF2B5EF4-FFF2-40B4-BE49-F238E27FC236}">
                <a16:creationId xmlns:a16="http://schemas.microsoft.com/office/drawing/2014/main" id="{389B7B18-157E-4B86-8C29-3BF029127B07}"/>
              </a:ext>
            </a:extLst>
          </xdr:cNvPr>
          <xdr:cNvCxnSpPr/>
        </xdr:nvCxnSpPr>
        <xdr:spPr>
          <a:xfrm>
            <a:off x="2914650" y="113252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9" name="Straight Connector 948">
            <a:extLst>
              <a:ext uri="{FF2B5EF4-FFF2-40B4-BE49-F238E27FC236}">
                <a16:creationId xmlns:a16="http://schemas.microsoft.com/office/drawing/2014/main" id="{2DF66B4A-2360-4248-8EE0-AD031D93880E}"/>
              </a:ext>
            </a:extLst>
          </xdr:cNvPr>
          <xdr:cNvCxnSpPr/>
        </xdr:nvCxnSpPr>
        <xdr:spPr>
          <a:xfrm flipH="1">
            <a:off x="2867025" y="11510962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0" name="Straight Connector 949">
            <a:extLst>
              <a:ext uri="{FF2B5EF4-FFF2-40B4-BE49-F238E27FC236}">
                <a16:creationId xmlns:a16="http://schemas.microsoft.com/office/drawing/2014/main" id="{45E89C4B-9A00-49AE-B82C-F1B116F39E20}"/>
              </a:ext>
            </a:extLst>
          </xdr:cNvPr>
          <xdr:cNvCxnSpPr/>
        </xdr:nvCxnSpPr>
        <xdr:spPr>
          <a:xfrm>
            <a:off x="3238500" y="11325224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1" name="Straight Connector 950">
            <a:extLst>
              <a:ext uri="{FF2B5EF4-FFF2-40B4-BE49-F238E27FC236}">
                <a16:creationId xmlns:a16="http://schemas.microsoft.com/office/drawing/2014/main" id="{71D78042-1AF4-4F50-9663-49C97B1AE3AB}"/>
              </a:ext>
            </a:extLst>
          </xdr:cNvPr>
          <xdr:cNvCxnSpPr/>
        </xdr:nvCxnSpPr>
        <xdr:spPr>
          <a:xfrm flipH="1">
            <a:off x="3190875" y="1151096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2" name="Straight Connector 951">
            <a:extLst>
              <a:ext uri="{FF2B5EF4-FFF2-40B4-BE49-F238E27FC236}">
                <a16:creationId xmlns:a16="http://schemas.microsoft.com/office/drawing/2014/main" id="{E3F44687-039E-443B-B205-FEB221F48A80}"/>
              </a:ext>
            </a:extLst>
          </xdr:cNvPr>
          <xdr:cNvCxnSpPr/>
        </xdr:nvCxnSpPr>
        <xdr:spPr>
          <a:xfrm flipH="1">
            <a:off x="3514732" y="11229977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3" name="Straight Connector 952">
            <a:extLst>
              <a:ext uri="{FF2B5EF4-FFF2-40B4-BE49-F238E27FC236}">
                <a16:creationId xmlns:a16="http://schemas.microsoft.com/office/drawing/2014/main" id="{B24E1F24-8333-46B9-B8F8-6F0677FB6610}"/>
              </a:ext>
            </a:extLst>
          </xdr:cNvPr>
          <xdr:cNvCxnSpPr/>
        </xdr:nvCxnSpPr>
        <xdr:spPr>
          <a:xfrm>
            <a:off x="2152650" y="11196637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4" name="Straight Connector 953">
            <a:extLst>
              <a:ext uri="{FF2B5EF4-FFF2-40B4-BE49-F238E27FC236}">
                <a16:creationId xmlns:a16="http://schemas.microsoft.com/office/drawing/2014/main" id="{8F148398-9E46-4980-96F7-C916F3245CD0}"/>
              </a:ext>
            </a:extLst>
          </xdr:cNvPr>
          <xdr:cNvCxnSpPr/>
        </xdr:nvCxnSpPr>
        <xdr:spPr>
          <a:xfrm>
            <a:off x="2214562" y="11182349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5" name="Straight Connector 954">
            <a:extLst>
              <a:ext uri="{FF2B5EF4-FFF2-40B4-BE49-F238E27FC236}">
                <a16:creationId xmlns:a16="http://schemas.microsoft.com/office/drawing/2014/main" id="{BBFCC84D-CF14-48DC-B4FA-77C2D0BFF4C4}"/>
              </a:ext>
            </a:extLst>
          </xdr:cNvPr>
          <xdr:cNvCxnSpPr/>
        </xdr:nvCxnSpPr>
        <xdr:spPr>
          <a:xfrm flipH="1">
            <a:off x="1414463" y="11515717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6" name="Straight Connector 955">
            <a:extLst>
              <a:ext uri="{FF2B5EF4-FFF2-40B4-BE49-F238E27FC236}">
                <a16:creationId xmlns:a16="http://schemas.microsoft.com/office/drawing/2014/main" id="{E8BDACF3-5BCA-40B6-AADC-21E40A154D97}"/>
              </a:ext>
            </a:extLst>
          </xdr:cNvPr>
          <xdr:cNvCxnSpPr/>
        </xdr:nvCxnSpPr>
        <xdr:spPr>
          <a:xfrm>
            <a:off x="2181225" y="116967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7" name="Straight Connector 956">
            <a:extLst>
              <a:ext uri="{FF2B5EF4-FFF2-40B4-BE49-F238E27FC236}">
                <a16:creationId xmlns:a16="http://schemas.microsoft.com/office/drawing/2014/main" id="{123FFEE3-C229-4572-901B-64E7B683D922}"/>
              </a:ext>
            </a:extLst>
          </xdr:cNvPr>
          <xdr:cNvCxnSpPr/>
        </xdr:nvCxnSpPr>
        <xdr:spPr>
          <a:xfrm>
            <a:off x="3971925" y="1158716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8" name="Straight Connector 957">
            <a:extLst>
              <a:ext uri="{FF2B5EF4-FFF2-40B4-BE49-F238E27FC236}">
                <a16:creationId xmlns:a16="http://schemas.microsoft.com/office/drawing/2014/main" id="{0C757265-5730-4DCF-8514-A47B87042B74}"/>
              </a:ext>
            </a:extLst>
          </xdr:cNvPr>
          <xdr:cNvCxnSpPr/>
        </xdr:nvCxnSpPr>
        <xdr:spPr>
          <a:xfrm flipH="1">
            <a:off x="3929062" y="1180148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9" name="Straight Connector 958">
            <a:extLst>
              <a:ext uri="{FF2B5EF4-FFF2-40B4-BE49-F238E27FC236}">
                <a16:creationId xmlns:a16="http://schemas.microsoft.com/office/drawing/2014/main" id="{FC72FA66-57AA-4E61-BFBC-476A457EB857}"/>
              </a:ext>
            </a:extLst>
          </xdr:cNvPr>
          <xdr:cNvCxnSpPr/>
        </xdr:nvCxnSpPr>
        <xdr:spPr>
          <a:xfrm flipV="1">
            <a:off x="1457325" y="7343775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0" name="Straight Connector 959">
            <a:extLst>
              <a:ext uri="{FF2B5EF4-FFF2-40B4-BE49-F238E27FC236}">
                <a16:creationId xmlns:a16="http://schemas.microsoft.com/office/drawing/2014/main" id="{22A76733-A175-42EB-BF0A-8ADC1ACFE7F7}"/>
              </a:ext>
            </a:extLst>
          </xdr:cNvPr>
          <xdr:cNvCxnSpPr/>
        </xdr:nvCxnSpPr>
        <xdr:spPr>
          <a:xfrm>
            <a:off x="1385888" y="769620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1" name="Straight Connector 960">
            <a:extLst>
              <a:ext uri="{FF2B5EF4-FFF2-40B4-BE49-F238E27FC236}">
                <a16:creationId xmlns:a16="http://schemas.microsoft.com/office/drawing/2014/main" id="{3722508B-7932-46F6-A389-F129BB78E4A2}"/>
              </a:ext>
            </a:extLst>
          </xdr:cNvPr>
          <xdr:cNvCxnSpPr/>
        </xdr:nvCxnSpPr>
        <xdr:spPr>
          <a:xfrm flipH="1">
            <a:off x="1414457" y="76628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2" name="Straight Connector 961">
            <a:extLst>
              <a:ext uri="{FF2B5EF4-FFF2-40B4-BE49-F238E27FC236}">
                <a16:creationId xmlns:a16="http://schemas.microsoft.com/office/drawing/2014/main" id="{827D39DB-5906-40DA-BCEF-81AE1FB04D56}"/>
              </a:ext>
            </a:extLst>
          </xdr:cNvPr>
          <xdr:cNvCxnSpPr/>
        </xdr:nvCxnSpPr>
        <xdr:spPr>
          <a:xfrm>
            <a:off x="1624020" y="762952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3" name="Straight Connector 962">
            <a:extLst>
              <a:ext uri="{FF2B5EF4-FFF2-40B4-BE49-F238E27FC236}">
                <a16:creationId xmlns:a16="http://schemas.microsoft.com/office/drawing/2014/main" id="{5CB19B02-D65C-4CB5-AE36-5F260532636B}"/>
              </a:ext>
            </a:extLst>
          </xdr:cNvPr>
          <xdr:cNvCxnSpPr/>
        </xdr:nvCxnSpPr>
        <xdr:spPr>
          <a:xfrm flipH="1">
            <a:off x="1576396" y="76581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4" name="Straight Connector 963">
            <a:extLst>
              <a:ext uri="{FF2B5EF4-FFF2-40B4-BE49-F238E27FC236}">
                <a16:creationId xmlns:a16="http://schemas.microsoft.com/office/drawing/2014/main" id="{2F84D411-8B89-42F3-9EC9-A005005F28AF}"/>
              </a:ext>
            </a:extLst>
          </xdr:cNvPr>
          <xdr:cNvCxnSpPr/>
        </xdr:nvCxnSpPr>
        <xdr:spPr>
          <a:xfrm>
            <a:off x="3076576" y="7329488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5" name="Straight Connector 964">
            <a:extLst>
              <a:ext uri="{FF2B5EF4-FFF2-40B4-BE49-F238E27FC236}">
                <a16:creationId xmlns:a16="http://schemas.microsoft.com/office/drawing/2014/main" id="{CDC69D47-FA3D-4897-B1A8-59FF3CD638D6}"/>
              </a:ext>
            </a:extLst>
          </xdr:cNvPr>
          <xdr:cNvCxnSpPr/>
        </xdr:nvCxnSpPr>
        <xdr:spPr>
          <a:xfrm>
            <a:off x="4529141" y="762476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6" name="Straight Connector 965">
            <a:extLst>
              <a:ext uri="{FF2B5EF4-FFF2-40B4-BE49-F238E27FC236}">
                <a16:creationId xmlns:a16="http://schemas.microsoft.com/office/drawing/2014/main" id="{FF44300B-F9FC-4D42-BE0C-65103CF77340}"/>
              </a:ext>
            </a:extLst>
          </xdr:cNvPr>
          <xdr:cNvCxnSpPr/>
        </xdr:nvCxnSpPr>
        <xdr:spPr>
          <a:xfrm flipH="1">
            <a:off x="4486277" y="765333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Straight Connector 966">
            <a:extLst>
              <a:ext uri="{FF2B5EF4-FFF2-40B4-BE49-F238E27FC236}">
                <a16:creationId xmlns:a16="http://schemas.microsoft.com/office/drawing/2014/main" id="{1B3C43CF-C843-4F4B-BB6F-4889CA9E1EF4}"/>
              </a:ext>
            </a:extLst>
          </xdr:cNvPr>
          <xdr:cNvCxnSpPr/>
        </xdr:nvCxnSpPr>
        <xdr:spPr>
          <a:xfrm flipV="1">
            <a:off x="4695825" y="7339012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8" name="Straight Connector 967">
            <a:extLst>
              <a:ext uri="{FF2B5EF4-FFF2-40B4-BE49-F238E27FC236}">
                <a16:creationId xmlns:a16="http://schemas.microsoft.com/office/drawing/2014/main" id="{1C52B37C-6C8F-4060-B690-FBF59349F361}"/>
              </a:ext>
            </a:extLst>
          </xdr:cNvPr>
          <xdr:cNvCxnSpPr/>
        </xdr:nvCxnSpPr>
        <xdr:spPr>
          <a:xfrm flipH="1">
            <a:off x="4652963" y="76533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9" name="Straight Connector 968">
            <a:extLst>
              <a:ext uri="{FF2B5EF4-FFF2-40B4-BE49-F238E27FC236}">
                <a16:creationId xmlns:a16="http://schemas.microsoft.com/office/drawing/2014/main" id="{8647D645-8331-41E2-958D-4597616FBCF2}"/>
              </a:ext>
            </a:extLst>
          </xdr:cNvPr>
          <xdr:cNvCxnSpPr/>
        </xdr:nvCxnSpPr>
        <xdr:spPr>
          <a:xfrm>
            <a:off x="1381125" y="741045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Straight Connector 969">
            <a:extLst>
              <a:ext uri="{FF2B5EF4-FFF2-40B4-BE49-F238E27FC236}">
                <a16:creationId xmlns:a16="http://schemas.microsoft.com/office/drawing/2014/main" id="{0FE99F44-10A6-4CF0-A133-53C4837B91A4}"/>
              </a:ext>
            </a:extLst>
          </xdr:cNvPr>
          <xdr:cNvCxnSpPr/>
        </xdr:nvCxnSpPr>
        <xdr:spPr>
          <a:xfrm flipH="1">
            <a:off x="1409700" y="73723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Straight Connector 970">
            <a:extLst>
              <a:ext uri="{FF2B5EF4-FFF2-40B4-BE49-F238E27FC236}">
                <a16:creationId xmlns:a16="http://schemas.microsoft.com/office/drawing/2014/main" id="{7CC06333-D2DF-45D0-950E-525052066A98}"/>
              </a:ext>
            </a:extLst>
          </xdr:cNvPr>
          <xdr:cNvCxnSpPr/>
        </xdr:nvCxnSpPr>
        <xdr:spPr>
          <a:xfrm flipH="1">
            <a:off x="4648200" y="73675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2" name="Straight Connector 971">
            <a:extLst>
              <a:ext uri="{FF2B5EF4-FFF2-40B4-BE49-F238E27FC236}">
                <a16:creationId xmlns:a16="http://schemas.microsoft.com/office/drawing/2014/main" id="{2C5B0F29-3972-4589-A73D-90CCC3A1F3B4}"/>
              </a:ext>
            </a:extLst>
          </xdr:cNvPr>
          <xdr:cNvCxnSpPr/>
        </xdr:nvCxnSpPr>
        <xdr:spPr>
          <a:xfrm flipH="1">
            <a:off x="3028951" y="73675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Straight Connector 972">
            <a:extLst>
              <a:ext uri="{FF2B5EF4-FFF2-40B4-BE49-F238E27FC236}">
                <a16:creationId xmlns:a16="http://schemas.microsoft.com/office/drawing/2014/main" id="{83B38D9D-BBCF-4175-8D81-859876FE9C0E}"/>
              </a:ext>
            </a:extLst>
          </xdr:cNvPr>
          <xdr:cNvCxnSpPr/>
        </xdr:nvCxnSpPr>
        <xdr:spPr>
          <a:xfrm flipH="1">
            <a:off x="3028951" y="76581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4" name="Straight Connector 973">
            <a:extLst>
              <a:ext uri="{FF2B5EF4-FFF2-40B4-BE49-F238E27FC236}">
                <a16:creationId xmlns:a16="http://schemas.microsoft.com/office/drawing/2014/main" id="{C3009E78-74DD-4649-88F3-37D39BEC8C6C}"/>
              </a:ext>
            </a:extLst>
          </xdr:cNvPr>
          <xdr:cNvCxnSpPr/>
        </xdr:nvCxnSpPr>
        <xdr:spPr>
          <a:xfrm flipH="1">
            <a:off x="733425" y="798195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5" name="Straight Connector 974">
            <a:extLst>
              <a:ext uri="{FF2B5EF4-FFF2-40B4-BE49-F238E27FC236}">
                <a16:creationId xmlns:a16="http://schemas.microsoft.com/office/drawing/2014/main" id="{A6B3942A-F32B-45DA-B203-33EB260B3A27}"/>
              </a:ext>
            </a:extLst>
          </xdr:cNvPr>
          <xdr:cNvCxnSpPr/>
        </xdr:nvCxnSpPr>
        <xdr:spPr>
          <a:xfrm>
            <a:off x="1133476" y="7915275"/>
            <a:ext cx="0" cy="3429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6" name="Straight Connector 975">
            <a:extLst>
              <a:ext uri="{FF2B5EF4-FFF2-40B4-BE49-F238E27FC236}">
                <a16:creationId xmlns:a16="http://schemas.microsoft.com/office/drawing/2014/main" id="{80BBDDF5-E6A3-4CA9-B8C3-37A14ECEC2F7}"/>
              </a:ext>
            </a:extLst>
          </xdr:cNvPr>
          <xdr:cNvCxnSpPr/>
        </xdr:nvCxnSpPr>
        <xdr:spPr>
          <a:xfrm flipH="1">
            <a:off x="1090613" y="794385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7" name="Straight Connector 976">
            <a:extLst>
              <a:ext uri="{FF2B5EF4-FFF2-40B4-BE49-F238E27FC236}">
                <a16:creationId xmlns:a16="http://schemas.microsoft.com/office/drawing/2014/main" id="{6BBB230C-5A34-45CB-A9CB-7C87AB382A06}"/>
              </a:ext>
            </a:extLst>
          </xdr:cNvPr>
          <xdr:cNvCxnSpPr/>
        </xdr:nvCxnSpPr>
        <xdr:spPr>
          <a:xfrm flipH="1">
            <a:off x="1047750" y="857725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8" name="Straight Connector 977">
            <a:extLst>
              <a:ext uri="{FF2B5EF4-FFF2-40B4-BE49-F238E27FC236}">
                <a16:creationId xmlns:a16="http://schemas.microsoft.com/office/drawing/2014/main" id="{62739BF1-DDB6-4D31-AF4D-936D67E31D32}"/>
              </a:ext>
            </a:extLst>
          </xdr:cNvPr>
          <xdr:cNvCxnSpPr/>
        </xdr:nvCxnSpPr>
        <xdr:spPr>
          <a:xfrm flipH="1">
            <a:off x="1085850" y="853915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Straight Connector 978">
            <a:extLst>
              <a:ext uri="{FF2B5EF4-FFF2-40B4-BE49-F238E27FC236}">
                <a16:creationId xmlns:a16="http://schemas.microsoft.com/office/drawing/2014/main" id="{BE45F2A0-4750-4136-B30A-29A401B10063}"/>
              </a:ext>
            </a:extLst>
          </xdr:cNvPr>
          <xdr:cNvCxnSpPr/>
        </xdr:nvCxnSpPr>
        <xdr:spPr>
          <a:xfrm flipH="1">
            <a:off x="1047750" y="965834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0" name="Straight Connector 979">
            <a:extLst>
              <a:ext uri="{FF2B5EF4-FFF2-40B4-BE49-F238E27FC236}">
                <a16:creationId xmlns:a16="http://schemas.microsoft.com/office/drawing/2014/main" id="{23E90599-183B-47D6-B616-E25128001CD5}"/>
              </a:ext>
            </a:extLst>
          </xdr:cNvPr>
          <xdr:cNvCxnSpPr/>
        </xdr:nvCxnSpPr>
        <xdr:spPr>
          <a:xfrm flipH="1">
            <a:off x="1085850" y="96202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1" name="Straight Connector 980">
            <a:extLst>
              <a:ext uri="{FF2B5EF4-FFF2-40B4-BE49-F238E27FC236}">
                <a16:creationId xmlns:a16="http://schemas.microsoft.com/office/drawing/2014/main" id="{006EADDC-AE88-4734-8D9A-8FD669585FF8}"/>
              </a:ext>
            </a:extLst>
          </xdr:cNvPr>
          <xdr:cNvCxnSpPr/>
        </xdr:nvCxnSpPr>
        <xdr:spPr>
          <a:xfrm flipH="1">
            <a:off x="1047750" y="1018698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Straight Connector 981">
            <a:extLst>
              <a:ext uri="{FF2B5EF4-FFF2-40B4-BE49-F238E27FC236}">
                <a16:creationId xmlns:a16="http://schemas.microsoft.com/office/drawing/2014/main" id="{47FD35D7-A87E-49D6-9C65-65D38A328239}"/>
              </a:ext>
            </a:extLst>
          </xdr:cNvPr>
          <xdr:cNvCxnSpPr/>
        </xdr:nvCxnSpPr>
        <xdr:spPr>
          <a:xfrm flipH="1">
            <a:off x="1085850" y="1014888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3" name="Straight Connector 982">
            <a:extLst>
              <a:ext uri="{FF2B5EF4-FFF2-40B4-BE49-F238E27FC236}">
                <a16:creationId xmlns:a16="http://schemas.microsoft.com/office/drawing/2014/main" id="{529C0797-BCFE-46FB-8E82-4E21CB6B653A}"/>
              </a:ext>
            </a:extLst>
          </xdr:cNvPr>
          <xdr:cNvCxnSpPr/>
        </xdr:nvCxnSpPr>
        <xdr:spPr>
          <a:xfrm flipH="1">
            <a:off x="1052513" y="10668003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4" name="Straight Connector 983">
            <a:extLst>
              <a:ext uri="{FF2B5EF4-FFF2-40B4-BE49-F238E27FC236}">
                <a16:creationId xmlns:a16="http://schemas.microsoft.com/office/drawing/2014/main" id="{F7FE3529-161E-49DE-A698-3FCF298E192D}"/>
              </a:ext>
            </a:extLst>
          </xdr:cNvPr>
          <xdr:cNvCxnSpPr/>
        </xdr:nvCxnSpPr>
        <xdr:spPr>
          <a:xfrm flipH="1">
            <a:off x="1090613" y="1062990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7" name="Straight Connector 986">
            <a:extLst>
              <a:ext uri="{FF2B5EF4-FFF2-40B4-BE49-F238E27FC236}">
                <a16:creationId xmlns:a16="http://schemas.microsoft.com/office/drawing/2014/main" id="{1CF2374D-25B1-4BB5-BBA7-618810602C9D}"/>
              </a:ext>
            </a:extLst>
          </xdr:cNvPr>
          <xdr:cNvCxnSpPr/>
        </xdr:nvCxnSpPr>
        <xdr:spPr>
          <a:xfrm flipH="1">
            <a:off x="719138" y="11268070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8" name="Straight Connector 987">
            <a:extLst>
              <a:ext uri="{FF2B5EF4-FFF2-40B4-BE49-F238E27FC236}">
                <a16:creationId xmlns:a16="http://schemas.microsoft.com/office/drawing/2014/main" id="{1184BDD4-F8AF-4BAF-B779-1542A71EEA63}"/>
              </a:ext>
            </a:extLst>
          </xdr:cNvPr>
          <xdr:cNvCxnSpPr/>
        </xdr:nvCxnSpPr>
        <xdr:spPr>
          <a:xfrm flipH="1">
            <a:off x="1090614" y="1122997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9" name="Straight Connector 988">
            <a:extLst>
              <a:ext uri="{FF2B5EF4-FFF2-40B4-BE49-F238E27FC236}">
                <a16:creationId xmlns:a16="http://schemas.microsoft.com/office/drawing/2014/main" id="{1EE94637-5443-4A46-B0C4-C3730A7E7770}"/>
              </a:ext>
            </a:extLst>
          </xdr:cNvPr>
          <xdr:cNvCxnSpPr/>
        </xdr:nvCxnSpPr>
        <xdr:spPr>
          <a:xfrm>
            <a:off x="809626" y="7910513"/>
            <a:ext cx="0" cy="34242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0" name="Straight Connector 989">
            <a:extLst>
              <a:ext uri="{FF2B5EF4-FFF2-40B4-BE49-F238E27FC236}">
                <a16:creationId xmlns:a16="http://schemas.microsoft.com/office/drawing/2014/main" id="{3208D031-138D-41AE-8BB3-1B19DB1A9CBF}"/>
              </a:ext>
            </a:extLst>
          </xdr:cNvPr>
          <xdr:cNvCxnSpPr/>
        </xdr:nvCxnSpPr>
        <xdr:spPr>
          <a:xfrm flipH="1">
            <a:off x="766763" y="793908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1" name="Straight Connector 990">
            <a:extLst>
              <a:ext uri="{FF2B5EF4-FFF2-40B4-BE49-F238E27FC236}">
                <a16:creationId xmlns:a16="http://schemas.microsoft.com/office/drawing/2014/main" id="{22BA7477-65B6-4EB5-81B3-D2EB228E576C}"/>
              </a:ext>
            </a:extLst>
          </xdr:cNvPr>
          <xdr:cNvCxnSpPr/>
        </xdr:nvCxnSpPr>
        <xdr:spPr>
          <a:xfrm flipH="1">
            <a:off x="766764" y="1122520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2" name="Straight Connector 991">
            <a:extLst>
              <a:ext uri="{FF2B5EF4-FFF2-40B4-BE49-F238E27FC236}">
                <a16:creationId xmlns:a16="http://schemas.microsoft.com/office/drawing/2014/main" id="{24A3ED28-A3FC-42DE-9B26-B76A91DDD54E}"/>
              </a:ext>
            </a:extLst>
          </xdr:cNvPr>
          <xdr:cNvCxnSpPr/>
        </xdr:nvCxnSpPr>
        <xdr:spPr>
          <a:xfrm flipH="1">
            <a:off x="1047750" y="916304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3" name="Straight Connector 992">
            <a:extLst>
              <a:ext uri="{FF2B5EF4-FFF2-40B4-BE49-F238E27FC236}">
                <a16:creationId xmlns:a16="http://schemas.microsoft.com/office/drawing/2014/main" id="{6368477C-25C8-443B-BF5B-E0A014DC7897}"/>
              </a:ext>
            </a:extLst>
          </xdr:cNvPr>
          <xdr:cNvCxnSpPr/>
        </xdr:nvCxnSpPr>
        <xdr:spPr>
          <a:xfrm flipH="1">
            <a:off x="1085850" y="91249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4" name="Straight Connector 993">
            <a:extLst>
              <a:ext uri="{FF2B5EF4-FFF2-40B4-BE49-F238E27FC236}">
                <a16:creationId xmlns:a16="http://schemas.microsoft.com/office/drawing/2014/main" id="{25F9E046-52DA-4459-B8F9-4D2472F557D3}"/>
              </a:ext>
            </a:extLst>
          </xdr:cNvPr>
          <xdr:cNvCxnSpPr/>
        </xdr:nvCxnSpPr>
        <xdr:spPr>
          <a:xfrm>
            <a:off x="5019675" y="7905750"/>
            <a:ext cx="0" cy="34242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5" name="Straight Connector 994">
            <a:extLst>
              <a:ext uri="{FF2B5EF4-FFF2-40B4-BE49-F238E27FC236}">
                <a16:creationId xmlns:a16="http://schemas.microsoft.com/office/drawing/2014/main" id="{77BDBADE-4F71-47A4-AECF-FA6CB56A7A05}"/>
              </a:ext>
            </a:extLst>
          </xdr:cNvPr>
          <xdr:cNvCxnSpPr/>
        </xdr:nvCxnSpPr>
        <xdr:spPr>
          <a:xfrm>
            <a:off x="4738688" y="11268068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6" name="Straight Connector 995">
            <a:extLst>
              <a:ext uri="{FF2B5EF4-FFF2-40B4-BE49-F238E27FC236}">
                <a16:creationId xmlns:a16="http://schemas.microsoft.com/office/drawing/2014/main" id="{81042E1E-1EFF-4A8E-B5BF-C33676304DA6}"/>
              </a:ext>
            </a:extLst>
          </xdr:cNvPr>
          <xdr:cNvCxnSpPr/>
        </xdr:nvCxnSpPr>
        <xdr:spPr>
          <a:xfrm>
            <a:off x="4733925" y="7981950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7" name="Straight Connector 996">
            <a:extLst>
              <a:ext uri="{FF2B5EF4-FFF2-40B4-BE49-F238E27FC236}">
                <a16:creationId xmlns:a16="http://schemas.microsoft.com/office/drawing/2014/main" id="{466FDB5F-898C-42F5-88C1-5526070C72D5}"/>
              </a:ext>
            </a:extLst>
          </xdr:cNvPr>
          <xdr:cNvCxnSpPr/>
        </xdr:nvCxnSpPr>
        <xdr:spPr>
          <a:xfrm flipH="1">
            <a:off x="4972050" y="794385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8" name="Straight Connector 997">
            <a:extLst>
              <a:ext uri="{FF2B5EF4-FFF2-40B4-BE49-F238E27FC236}">
                <a16:creationId xmlns:a16="http://schemas.microsoft.com/office/drawing/2014/main" id="{1FFD67B8-031E-4FC1-B1BE-DB08D57B8002}"/>
              </a:ext>
            </a:extLst>
          </xdr:cNvPr>
          <xdr:cNvCxnSpPr/>
        </xdr:nvCxnSpPr>
        <xdr:spPr>
          <a:xfrm flipH="1">
            <a:off x="4972051" y="11225205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9" name="Straight Connector 998">
            <a:extLst>
              <a:ext uri="{FF2B5EF4-FFF2-40B4-BE49-F238E27FC236}">
                <a16:creationId xmlns:a16="http://schemas.microsoft.com/office/drawing/2014/main" id="{A92F1EBE-B27C-4C03-99C0-1A72A272FE11}"/>
              </a:ext>
            </a:extLst>
          </xdr:cNvPr>
          <xdr:cNvCxnSpPr/>
        </xdr:nvCxnSpPr>
        <xdr:spPr>
          <a:xfrm>
            <a:off x="3943350" y="9553575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0" name="Straight Connector 999">
            <a:extLst>
              <a:ext uri="{FF2B5EF4-FFF2-40B4-BE49-F238E27FC236}">
                <a16:creationId xmlns:a16="http://schemas.microsoft.com/office/drawing/2014/main" id="{633F6A00-560F-4EE0-89B6-CD7BFAF25FE7}"/>
              </a:ext>
            </a:extLst>
          </xdr:cNvPr>
          <xdr:cNvCxnSpPr/>
        </xdr:nvCxnSpPr>
        <xdr:spPr>
          <a:xfrm flipH="1">
            <a:off x="4976814" y="95107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1" name="Straight Connector 1000">
            <a:extLst>
              <a:ext uri="{FF2B5EF4-FFF2-40B4-BE49-F238E27FC236}">
                <a16:creationId xmlns:a16="http://schemas.microsoft.com/office/drawing/2014/main" id="{8D374CC8-B2F9-4C8D-A687-30C38216BC2D}"/>
              </a:ext>
            </a:extLst>
          </xdr:cNvPr>
          <xdr:cNvCxnSpPr/>
        </xdr:nvCxnSpPr>
        <xdr:spPr>
          <a:xfrm>
            <a:off x="3562350" y="9344025"/>
            <a:ext cx="0" cy="1985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2" name="Straight Connector 1001">
            <a:extLst>
              <a:ext uri="{FF2B5EF4-FFF2-40B4-BE49-F238E27FC236}">
                <a16:creationId xmlns:a16="http://schemas.microsoft.com/office/drawing/2014/main" id="{FC8174CE-635B-4F60-8E39-95F14B846736}"/>
              </a:ext>
            </a:extLst>
          </xdr:cNvPr>
          <xdr:cNvCxnSpPr/>
        </xdr:nvCxnSpPr>
        <xdr:spPr>
          <a:xfrm>
            <a:off x="1462088" y="9663113"/>
            <a:ext cx="1614487" cy="991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3" name="Straight Connector 1002">
            <a:extLst>
              <a:ext uri="{FF2B5EF4-FFF2-40B4-BE49-F238E27FC236}">
                <a16:creationId xmlns:a16="http://schemas.microsoft.com/office/drawing/2014/main" id="{51010D70-39D8-44FC-BBBF-0FEB091E7C08}"/>
              </a:ext>
            </a:extLst>
          </xdr:cNvPr>
          <xdr:cNvCxnSpPr/>
        </xdr:nvCxnSpPr>
        <xdr:spPr>
          <a:xfrm flipH="1">
            <a:off x="3509962" y="936307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4" name="Straight Connector 1003">
            <a:extLst>
              <a:ext uri="{FF2B5EF4-FFF2-40B4-BE49-F238E27FC236}">
                <a16:creationId xmlns:a16="http://schemas.microsoft.com/office/drawing/2014/main" id="{DAE4A2F4-26D9-4138-8323-586B0F0FA488}"/>
              </a:ext>
            </a:extLst>
          </xdr:cNvPr>
          <xdr:cNvCxnSpPr/>
        </xdr:nvCxnSpPr>
        <xdr:spPr>
          <a:xfrm flipH="1">
            <a:off x="2938463" y="9120188"/>
            <a:ext cx="2095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5" name="Straight Connector 1004">
            <a:extLst>
              <a:ext uri="{FF2B5EF4-FFF2-40B4-BE49-F238E27FC236}">
                <a16:creationId xmlns:a16="http://schemas.microsoft.com/office/drawing/2014/main" id="{6C63BCB0-B234-48AE-B2BA-4B36B821109A}"/>
              </a:ext>
            </a:extLst>
          </xdr:cNvPr>
          <xdr:cNvCxnSpPr/>
        </xdr:nvCxnSpPr>
        <xdr:spPr>
          <a:xfrm>
            <a:off x="3009909" y="9024934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Straight Connector 1005">
            <a:extLst>
              <a:ext uri="{FF2B5EF4-FFF2-40B4-BE49-F238E27FC236}">
                <a16:creationId xmlns:a16="http://schemas.microsoft.com/office/drawing/2014/main" id="{863D74D9-009E-4C3E-A114-D23F26A604B5}"/>
              </a:ext>
            </a:extLst>
          </xdr:cNvPr>
          <xdr:cNvCxnSpPr/>
        </xdr:nvCxnSpPr>
        <xdr:spPr>
          <a:xfrm flipH="1">
            <a:off x="2957522" y="9077322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7" name="Straight Connector 1006">
            <a:extLst>
              <a:ext uri="{FF2B5EF4-FFF2-40B4-BE49-F238E27FC236}">
                <a16:creationId xmlns:a16="http://schemas.microsoft.com/office/drawing/2014/main" id="{160DEB28-1421-4F85-A74E-6B4A9D82CB10}"/>
              </a:ext>
            </a:extLst>
          </xdr:cNvPr>
          <xdr:cNvCxnSpPr/>
        </xdr:nvCxnSpPr>
        <xdr:spPr>
          <a:xfrm flipH="1">
            <a:off x="3024188" y="9077325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8" name="Straight Connector 1007">
            <a:extLst>
              <a:ext uri="{FF2B5EF4-FFF2-40B4-BE49-F238E27FC236}">
                <a16:creationId xmlns:a16="http://schemas.microsoft.com/office/drawing/2014/main" id="{96B77EA3-B44B-4BD0-85CB-F5D6BD470064}"/>
              </a:ext>
            </a:extLst>
          </xdr:cNvPr>
          <xdr:cNvCxnSpPr/>
        </xdr:nvCxnSpPr>
        <xdr:spPr>
          <a:xfrm flipV="1">
            <a:off x="2181225" y="9553575"/>
            <a:ext cx="0" cy="1800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9" name="Straight Connector 1008">
            <a:extLst>
              <a:ext uri="{FF2B5EF4-FFF2-40B4-BE49-F238E27FC236}">
                <a16:creationId xmlns:a16="http://schemas.microsoft.com/office/drawing/2014/main" id="{38C03920-1F31-4AEA-8CD6-3DC6A36B6596}"/>
              </a:ext>
            </a:extLst>
          </xdr:cNvPr>
          <xdr:cNvCxnSpPr/>
        </xdr:nvCxnSpPr>
        <xdr:spPr>
          <a:xfrm flipV="1">
            <a:off x="3971925" y="9544051"/>
            <a:ext cx="0" cy="1733549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0" name="Arc 1009">
            <a:extLst>
              <a:ext uri="{FF2B5EF4-FFF2-40B4-BE49-F238E27FC236}">
                <a16:creationId xmlns:a16="http://schemas.microsoft.com/office/drawing/2014/main" id="{74F798F4-C5BA-422E-8C2F-462619307FED}"/>
              </a:ext>
            </a:extLst>
          </xdr:cNvPr>
          <xdr:cNvSpPr/>
        </xdr:nvSpPr>
        <xdr:spPr>
          <a:xfrm rot="16200000">
            <a:off x="2181225" y="8677275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11" name="Straight Connector 1010">
            <a:extLst>
              <a:ext uri="{FF2B5EF4-FFF2-40B4-BE49-F238E27FC236}">
                <a16:creationId xmlns:a16="http://schemas.microsoft.com/office/drawing/2014/main" id="{92B0BEBC-FB94-4490-B53A-595600E74DE3}"/>
              </a:ext>
            </a:extLst>
          </xdr:cNvPr>
          <xdr:cNvCxnSpPr/>
        </xdr:nvCxnSpPr>
        <xdr:spPr>
          <a:xfrm>
            <a:off x="1381125" y="11839575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2" name="Straight Connector 1011">
            <a:extLst>
              <a:ext uri="{FF2B5EF4-FFF2-40B4-BE49-F238E27FC236}">
                <a16:creationId xmlns:a16="http://schemas.microsoft.com/office/drawing/2014/main" id="{98C5F239-510D-4559-8288-48E23E257849}"/>
              </a:ext>
            </a:extLst>
          </xdr:cNvPr>
          <xdr:cNvCxnSpPr/>
        </xdr:nvCxnSpPr>
        <xdr:spPr>
          <a:xfrm flipH="1">
            <a:off x="2138363" y="1179671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3" name="Straight Connector 1012">
            <a:extLst>
              <a:ext uri="{FF2B5EF4-FFF2-40B4-BE49-F238E27FC236}">
                <a16:creationId xmlns:a16="http://schemas.microsoft.com/office/drawing/2014/main" id="{5B02E1A4-4C5F-427A-B8FF-C1A61D50EAE6}"/>
              </a:ext>
            </a:extLst>
          </xdr:cNvPr>
          <xdr:cNvCxnSpPr/>
        </xdr:nvCxnSpPr>
        <xdr:spPr>
          <a:xfrm flipH="1">
            <a:off x="4652964" y="1151572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4" name="Straight Connector 1013">
            <a:extLst>
              <a:ext uri="{FF2B5EF4-FFF2-40B4-BE49-F238E27FC236}">
                <a16:creationId xmlns:a16="http://schemas.microsoft.com/office/drawing/2014/main" id="{069CA220-37EA-413A-96EE-E9C73EBBCE34}"/>
              </a:ext>
            </a:extLst>
          </xdr:cNvPr>
          <xdr:cNvCxnSpPr/>
        </xdr:nvCxnSpPr>
        <xdr:spPr>
          <a:xfrm>
            <a:off x="2743216" y="7624763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5" name="Straight Connector 1014">
            <a:extLst>
              <a:ext uri="{FF2B5EF4-FFF2-40B4-BE49-F238E27FC236}">
                <a16:creationId xmlns:a16="http://schemas.microsoft.com/office/drawing/2014/main" id="{4A3D663F-68F6-4CA4-86B4-EB1284B7200A}"/>
              </a:ext>
            </a:extLst>
          </xdr:cNvPr>
          <xdr:cNvCxnSpPr/>
        </xdr:nvCxnSpPr>
        <xdr:spPr>
          <a:xfrm flipH="1">
            <a:off x="2700355" y="76485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6" name="Straight Connector 1015">
            <a:extLst>
              <a:ext uri="{FF2B5EF4-FFF2-40B4-BE49-F238E27FC236}">
                <a16:creationId xmlns:a16="http://schemas.microsoft.com/office/drawing/2014/main" id="{A5142974-9139-4421-B84B-F812FFF4E0AB}"/>
              </a:ext>
            </a:extLst>
          </xdr:cNvPr>
          <xdr:cNvCxnSpPr/>
        </xdr:nvCxnSpPr>
        <xdr:spPr>
          <a:xfrm>
            <a:off x="3400436" y="763428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7" name="Straight Connector 1016">
            <a:extLst>
              <a:ext uri="{FF2B5EF4-FFF2-40B4-BE49-F238E27FC236}">
                <a16:creationId xmlns:a16="http://schemas.microsoft.com/office/drawing/2014/main" id="{A94CB60F-00BD-4070-84FA-3AC5C9907F2B}"/>
              </a:ext>
            </a:extLst>
          </xdr:cNvPr>
          <xdr:cNvCxnSpPr/>
        </xdr:nvCxnSpPr>
        <xdr:spPr>
          <a:xfrm flipH="1">
            <a:off x="3352812" y="765809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8" name="Straight Connector 1017">
            <a:extLst>
              <a:ext uri="{FF2B5EF4-FFF2-40B4-BE49-F238E27FC236}">
                <a16:creationId xmlns:a16="http://schemas.microsoft.com/office/drawing/2014/main" id="{F7608DC1-5AF2-4148-8AA3-4D92A8F19A21}"/>
              </a:ext>
            </a:extLst>
          </xdr:cNvPr>
          <xdr:cNvCxnSpPr/>
        </xdr:nvCxnSpPr>
        <xdr:spPr>
          <a:xfrm>
            <a:off x="1390649" y="12411074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9" name="Straight Connector 1018">
            <a:extLst>
              <a:ext uri="{FF2B5EF4-FFF2-40B4-BE49-F238E27FC236}">
                <a16:creationId xmlns:a16="http://schemas.microsoft.com/office/drawing/2014/main" id="{DC7D406B-B4F7-4855-AD63-7AFC2351F1C4}"/>
              </a:ext>
            </a:extLst>
          </xdr:cNvPr>
          <xdr:cNvCxnSpPr/>
        </xdr:nvCxnSpPr>
        <xdr:spPr>
          <a:xfrm flipH="1">
            <a:off x="1414463" y="123729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0" name="Straight Connector 1019">
            <a:extLst>
              <a:ext uri="{FF2B5EF4-FFF2-40B4-BE49-F238E27FC236}">
                <a16:creationId xmlns:a16="http://schemas.microsoft.com/office/drawing/2014/main" id="{24168A6D-DCD6-4B20-8817-B35B01A77602}"/>
              </a:ext>
            </a:extLst>
          </xdr:cNvPr>
          <xdr:cNvCxnSpPr/>
        </xdr:nvCxnSpPr>
        <xdr:spPr>
          <a:xfrm flipH="1">
            <a:off x="4652963" y="123729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1" name="Straight Connector 1020">
            <a:extLst>
              <a:ext uri="{FF2B5EF4-FFF2-40B4-BE49-F238E27FC236}">
                <a16:creationId xmlns:a16="http://schemas.microsoft.com/office/drawing/2014/main" id="{F161E479-E859-4652-87E5-62EFACFA5F91}"/>
              </a:ext>
            </a:extLst>
          </xdr:cNvPr>
          <xdr:cNvCxnSpPr/>
        </xdr:nvCxnSpPr>
        <xdr:spPr>
          <a:xfrm flipH="1">
            <a:off x="1414462" y="118014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2" name="Straight Connector 1021">
            <a:extLst>
              <a:ext uri="{FF2B5EF4-FFF2-40B4-BE49-F238E27FC236}">
                <a16:creationId xmlns:a16="http://schemas.microsoft.com/office/drawing/2014/main" id="{12301AFB-2F99-40D3-8350-A61652C16F2F}"/>
              </a:ext>
            </a:extLst>
          </xdr:cNvPr>
          <xdr:cNvCxnSpPr/>
        </xdr:nvCxnSpPr>
        <xdr:spPr>
          <a:xfrm flipH="1">
            <a:off x="4652962" y="118014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3" name="Straight Connector 1022">
            <a:extLst>
              <a:ext uri="{FF2B5EF4-FFF2-40B4-BE49-F238E27FC236}">
                <a16:creationId xmlns:a16="http://schemas.microsoft.com/office/drawing/2014/main" id="{476DDCBA-67CE-4038-957F-B6BA16CBB090}"/>
              </a:ext>
            </a:extLst>
          </xdr:cNvPr>
          <xdr:cNvCxnSpPr/>
        </xdr:nvCxnSpPr>
        <xdr:spPr>
          <a:xfrm flipH="1">
            <a:off x="3033712" y="1180147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4" name="Straight Connector 1023">
            <a:extLst>
              <a:ext uri="{FF2B5EF4-FFF2-40B4-BE49-F238E27FC236}">
                <a16:creationId xmlns:a16="http://schemas.microsoft.com/office/drawing/2014/main" id="{DD72BEF9-4B04-4751-91E8-BB7D651C9A5E}"/>
              </a:ext>
            </a:extLst>
          </xdr:cNvPr>
          <xdr:cNvCxnSpPr/>
        </xdr:nvCxnSpPr>
        <xdr:spPr>
          <a:xfrm>
            <a:off x="3086100" y="975360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5" name="Straight Connector 1024">
            <a:extLst>
              <a:ext uri="{FF2B5EF4-FFF2-40B4-BE49-F238E27FC236}">
                <a16:creationId xmlns:a16="http://schemas.microsoft.com/office/drawing/2014/main" id="{5AE4ABC6-FD0A-498E-80E3-FD8A8000D9F2}"/>
              </a:ext>
            </a:extLst>
          </xdr:cNvPr>
          <xdr:cNvCxnSpPr/>
        </xdr:nvCxnSpPr>
        <xdr:spPr>
          <a:xfrm>
            <a:off x="3262312" y="9410700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26" name="Oval 1025">
            <a:extLst>
              <a:ext uri="{FF2B5EF4-FFF2-40B4-BE49-F238E27FC236}">
                <a16:creationId xmlns:a16="http://schemas.microsoft.com/office/drawing/2014/main" id="{C66EE1C3-82DA-4C51-882D-915E41E43DDC}"/>
              </a:ext>
            </a:extLst>
          </xdr:cNvPr>
          <xdr:cNvSpPr/>
        </xdr:nvSpPr>
        <xdr:spPr>
          <a:xfrm>
            <a:off x="3053716" y="952595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27" name="Straight Connector 1026">
            <a:extLst>
              <a:ext uri="{FF2B5EF4-FFF2-40B4-BE49-F238E27FC236}">
                <a16:creationId xmlns:a16="http://schemas.microsoft.com/office/drawing/2014/main" id="{2A37E1FD-A8E0-48B3-99C7-F38EC3C7871A}"/>
              </a:ext>
            </a:extLst>
          </xdr:cNvPr>
          <xdr:cNvCxnSpPr/>
        </xdr:nvCxnSpPr>
        <xdr:spPr>
          <a:xfrm>
            <a:off x="2519363" y="9553575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8" name="Straight Connector 1027">
            <a:extLst>
              <a:ext uri="{FF2B5EF4-FFF2-40B4-BE49-F238E27FC236}">
                <a16:creationId xmlns:a16="http://schemas.microsoft.com/office/drawing/2014/main" id="{BFF1C9D4-D0A5-4059-B0D2-A57822B20141}"/>
              </a:ext>
            </a:extLst>
          </xdr:cNvPr>
          <xdr:cNvCxnSpPr/>
        </xdr:nvCxnSpPr>
        <xdr:spPr>
          <a:xfrm flipV="1">
            <a:off x="2590800" y="9353550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9" name="Straight Connector 1028">
            <a:extLst>
              <a:ext uri="{FF2B5EF4-FFF2-40B4-BE49-F238E27FC236}">
                <a16:creationId xmlns:a16="http://schemas.microsoft.com/office/drawing/2014/main" id="{4AE692ED-6861-4DF9-9C97-6E69442ABF9B}"/>
              </a:ext>
            </a:extLst>
          </xdr:cNvPr>
          <xdr:cNvCxnSpPr/>
        </xdr:nvCxnSpPr>
        <xdr:spPr>
          <a:xfrm flipH="1">
            <a:off x="2514600" y="9410700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0" name="Straight Connector 1029">
            <a:extLst>
              <a:ext uri="{FF2B5EF4-FFF2-40B4-BE49-F238E27FC236}">
                <a16:creationId xmlns:a16="http://schemas.microsoft.com/office/drawing/2014/main" id="{B4900458-E081-4121-A55C-8ED1C2E449AA}"/>
              </a:ext>
            </a:extLst>
          </xdr:cNvPr>
          <xdr:cNvCxnSpPr/>
        </xdr:nvCxnSpPr>
        <xdr:spPr>
          <a:xfrm flipH="1">
            <a:off x="2547938" y="9377363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1" name="Straight Connector 1030">
            <a:extLst>
              <a:ext uri="{FF2B5EF4-FFF2-40B4-BE49-F238E27FC236}">
                <a16:creationId xmlns:a16="http://schemas.microsoft.com/office/drawing/2014/main" id="{52D7953B-B5BA-4333-982A-3BDD461ABE5D}"/>
              </a:ext>
            </a:extLst>
          </xdr:cNvPr>
          <xdr:cNvCxnSpPr/>
        </xdr:nvCxnSpPr>
        <xdr:spPr>
          <a:xfrm flipH="1">
            <a:off x="2552700" y="9515475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2" name="Straight Connector 1031">
            <a:extLst>
              <a:ext uri="{FF2B5EF4-FFF2-40B4-BE49-F238E27FC236}">
                <a16:creationId xmlns:a16="http://schemas.microsoft.com/office/drawing/2014/main" id="{5F80BA1E-E715-4087-AC46-0507BCFB5462}"/>
              </a:ext>
            </a:extLst>
          </xdr:cNvPr>
          <xdr:cNvCxnSpPr/>
        </xdr:nvCxnSpPr>
        <xdr:spPr>
          <a:xfrm flipH="1">
            <a:off x="3514724" y="97107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3" name="Straight Connector 1032">
            <a:extLst>
              <a:ext uri="{FF2B5EF4-FFF2-40B4-BE49-F238E27FC236}">
                <a16:creationId xmlns:a16="http://schemas.microsoft.com/office/drawing/2014/main" id="{3012DEBA-90CF-40C2-889F-234EEB10E97E}"/>
              </a:ext>
            </a:extLst>
          </xdr:cNvPr>
          <xdr:cNvCxnSpPr/>
        </xdr:nvCxnSpPr>
        <xdr:spPr>
          <a:xfrm>
            <a:off x="3090862" y="99726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4" name="Straight Connector 1033">
            <a:extLst>
              <a:ext uri="{FF2B5EF4-FFF2-40B4-BE49-F238E27FC236}">
                <a16:creationId xmlns:a16="http://schemas.microsoft.com/office/drawing/2014/main" id="{2EA8267F-7755-451E-9970-51649A169DF7}"/>
              </a:ext>
            </a:extLst>
          </xdr:cNvPr>
          <xdr:cNvCxnSpPr/>
        </xdr:nvCxnSpPr>
        <xdr:spPr>
          <a:xfrm flipH="1">
            <a:off x="3519486" y="99298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5" name="Straight Connector 1034">
            <a:extLst>
              <a:ext uri="{FF2B5EF4-FFF2-40B4-BE49-F238E27FC236}">
                <a16:creationId xmlns:a16="http://schemas.microsoft.com/office/drawing/2014/main" id="{C51BCA27-8D80-4628-81FE-7B6F25A2D767}"/>
              </a:ext>
            </a:extLst>
          </xdr:cNvPr>
          <xdr:cNvCxnSpPr/>
        </xdr:nvCxnSpPr>
        <xdr:spPr>
          <a:xfrm>
            <a:off x="3086099" y="1028223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6" name="Straight Connector 1035">
            <a:extLst>
              <a:ext uri="{FF2B5EF4-FFF2-40B4-BE49-F238E27FC236}">
                <a16:creationId xmlns:a16="http://schemas.microsoft.com/office/drawing/2014/main" id="{98A4EF87-007E-444C-8841-C7EE4034FF78}"/>
              </a:ext>
            </a:extLst>
          </xdr:cNvPr>
          <xdr:cNvCxnSpPr/>
        </xdr:nvCxnSpPr>
        <xdr:spPr>
          <a:xfrm flipH="1">
            <a:off x="3514723" y="102393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7" name="Straight Connector 1036">
            <a:extLst>
              <a:ext uri="{FF2B5EF4-FFF2-40B4-BE49-F238E27FC236}">
                <a16:creationId xmlns:a16="http://schemas.microsoft.com/office/drawing/2014/main" id="{D331FF42-69EB-4F22-B47E-A1A9F8FDF982}"/>
              </a:ext>
            </a:extLst>
          </xdr:cNvPr>
          <xdr:cNvCxnSpPr/>
        </xdr:nvCxnSpPr>
        <xdr:spPr>
          <a:xfrm>
            <a:off x="3086098" y="1066323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8" name="Straight Connector 1037">
            <a:extLst>
              <a:ext uri="{FF2B5EF4-FFF2-40B4-BE49-F238E27FC236}">
                <a16:creationId xmlns:a16="http://schemas.microsoft.com/office/drawing/2014/main" id="{54B53CF9-EE66-4466-8ECE-3305293558E2}"/>
              </a:ext>
            </a:extLst>
          </xdr:cNvPr>
          <xdr:cNvCxnSpPr/>
        </xdr:nvCxnSpPr>
        <xdr:spPr>
          <a:xfrm flipH="1">
            <a:off x="3514722" y="106203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9" name="Straight Connector 1038">
            <a:extLst>
              <a:ext uri="{FF2B5EF4-FFF2-40B4-BE49-F238E27FC236}">
                <a16:creationId xmlns:a16="http://schemas.microsoft.com/office/drawing/2014/main" id="{3D8BF1B0-FFA6-44CE-893D-23A2783F4AE7}"/>
              </a:ext>
            </a:extLst>
          </xdr:cNvPr>
          <xdr:cNvCxnSpPr/>
        </xdr:nvCxnSpPr>
        <xdr:spPr>
          <a:xfrm>
            <a:off x="3090860" y="1087754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0" name="Straight Connector 1039">
            <a:extLst>
              <a:ext uri="{FF2B5EF4-FFF2-40B4-BE49-F238E27FC236}">
                <a16:creationId xmlns:a16="http://schemas.microsoft.com/office/drawing/2014/main" id="{5FA27AE1-FF72-43A2-8321-C0CF2067DB70}"/>
              </a:ext>
            </a:extLst>
          </xdr:cNvPr>
          <xdr:cNvCxnSpPr/>
        </xdr:nvCxnSpPr>
        <xdr:spPr>
          <a:xfrm flipH="1">
            <a:off x="3519484" y="1083468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3" name="Straight Connector 1042">
            <a:extLst>
              <a:ext uri="{FF2B5EF4-FFF2-40B4-BE49-F238E27FC236}">
                <a16:creationId xmlns:a16="http://schemas.microsoft.com/office/drawing/2014/main" id="{3A1C7866-865F-4C2E-ADAD-B1790B2ED57E}"/>
              </a:ext>
            </a:extLst>
          </xdr:cNvPr>
          <xdr:cNvCxnSpPr/>
        </xdr:nvCxnSpPr>
        <xdr:spPr>
          <a:xfrm>
            <a:off x="3086098" y="104155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4" name="Straight Connector 1043">
            <a:extLst>
              <a:ext uri="{FF2B5EF4-FFF2-40B4-BE49-F238E27FC236}">
                <a16:creationId xmlns:a16="http://schemas.microsoft.com/office/drawing/2014/main" id="{B4482CCF-FFDB-42E9-AEDF-4E3C64A056F8}"/>
              </a:ext>
            </a:extLst>
          </xdr:cNvPr>
          <xdr:cNvCxnSpPr/>
        </xdr:nvCxnSpPr>
        <xdr:spPr>
          <a:xfrm flipH="1">
            <a:off x="3514722" y="103727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Straight Connector 1044">
            <a:extLst>
              <a:ext uri="{FF2B5EF4-FFF2-40B4-BE49-F238E27FC236}">
                <a16:creationId xmlns:a16="http://schemas.microsoft.com/office/drawing/2014/main" id="{E70EB870-CA9B-46FF-8324-6E3BC4C264FD}"/>
              </a:ext>
            </a:extLst>
          </xdr:cNvPr>
          <xdr:cNvCxnSpPr/>
        </xdr:nvCxnSpPr>
        <xdr:spPr>
          <a:xfrm>
            <a:off x="3086098" y="101250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6" name="Straight Connector 1045">
            <a:extLst>
              <a:ext uri="{FF2B5EF4-FFF2-40B4-BE49-F238E27FC236}">
                <a16:creationId xmlns:a16="http://schemas.microsoft.com/office/drawing/2014/main" id="{85CCE19A-92EC-41F3-9D93-C0A9398418B7}"/>
              </a:ext>
            </a:extLst>
          </xdr:cNvPr>
          <xdr:cNvCxnSpPr/>
        </xdr:nvCxnSpPr>
        <xdr:spPr>
          <a:xfrm flipH="1">
            <a:off x="3514722" y="100822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47" name="Oval 1046">
            <a:extLst>
              <a:ext uri="{FF2B5EF4-FFF2-40B4-BE49-F238E27FC236}">
                <a16:creationId xmlns:a16="http://schemas.microsoft.com/office/drawing/2014/main" id="{F9B42918-E633-49C1-9928-EFAC36F0076D}"/>
              </a:ext>
            </a:extLst>
          </xdr:cNvPr>
          <xdr:cNvSpPr/>
        </xdr:nvSpPr>
        <xdr:spPr>
          <a:xfrm>
            <a:off x="2157413" y="9525000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48" name="Oval 1047">
            <a:extLst>
              <a:ext uri="{FF2B5EF4-FFF2-40B4-BE49-F238E27FC236}">
                <a16:creationId xmlns:a16="http://schemas.microsoft.com/office/drawing/2014/main" id="{3E23EE62-EC31-422E-8CC7-4C2CCA568E82}"/>
              </a:ext>
            </a:extLst>
          </xdr:cNvPr>
          <xdr:cNvSpPr/>
        </xdr:nvSpPr>
        <xdr:spPr>
          <a:xfrm>
            <a:off x="3948113" y="952976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49" name="Straight Connector 1048">
            <a:extLst>
              <a:ext uri="{FF2B5EF4-FFF2-40B4-BE49-F238E27FC236}">
                <a16:creationId xmlns:a16="http://schemas.microsoft.com/office/drawing/2014/main" id="{34C50D1B-2817-4FFB-8265-3B8C3F91DB12}"/>
              </a:ext>
            </a:extLst>
          </xdr:cNvPr>
          <xdr:cNvCxnSpPr/>
        </xdr:nvCxnSpPr>
        <xdr:spPr>
          <a:xfrm>
            <a:off x="5105400" y="941070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0" name="Straight Connector 1049">
            <a:extLst>
              <a:ext uri="{FF2B5EF4-FFF2-40B4-BE49-F238E27FC236}">
                <a16:creationId xmlns:a16="http://schemas.microsoft.com/office/drawing/2014/main" id="{5E159135-EEB9-4039-9BF4-38AB30373972}"/>
              </a:ext>
            </a:extLst>
          </xdr:cNvPr>
          <xdr:cNvCxnSpPr/>
        </xdr:nvCxnSpPr>
        <xdr:spPr>
          <a:xfrm>
            <a:off x="5343525" y="7905750"/>
            <a:ext cx="0" cy="34337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1" name="Straight Connector 1050">
            <a:extLst>
              <a:ext uri="{FF2B5EF4-FFF2-40B4-BE49-F238E27FC236}">
                <a16:creationId xmlns:a16="http://schemas.microsoft.com/office/drawing/2014/main" id="{8A438692-680B-48D3-8FF8-AC2F07DB5D1C}"/>
              </a:ext>
            </a:extLst>
          </xdr:cNvPr>
          <xdr:cNvCxnSpPr/>
        </xdr:nvCxnSpPr>
        <xdr:spPr>
          <a:xfrm flipH="1">
            <a:off x="5305426" y="11220443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2" name="Straight Connector 1051">
            <a:extLst>
              <a:ext uri="{FF2B5EF4-FFF2-40B4-BE49-F238E27FC236}">
                <a16:creationId xmlns:a16="http://schemas.microsoft.com/office/drawing/2014/main" id="{EE2DFE65-B5C5-48B9-AA97-AEB2700C0E45}"/>
              </a:ext>
            </a:extLst>
          </xdr:cNvPr>
          <xdr:cNvCxnSpPr/>
        </xdr:nvCxnSpPr>
        <xdr:spPr>
          <a:xfrm flipH="1">
            <a:off x="5300664" y="93678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3" name="Straight Connector 1052">
            <a:extLst>
              <a:ext uri="{FF2B5EF4-FFF2-40B4-BE49-F238E27FC236}">
                <a16:creationId xmlns:a16="http://schemas.microsoft.com/office/drawing/2014/main" id="{82D0F57D-DA27-489B-A376-559CB663B1B2}"/>
              </a:ext>
            </a:extLst>
          </xdr:cNvPr>
          <xdr:cNvCxnSpPr/>
        </xdr:nvCxnSpPr>
        <xdr:spPr>
          <a:xfrm>
            <a:off x="3833812" y="9410700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1741B689-8519-4FE5-9875-8DA4392B595B}"/>
              </a:ext>
            </a:extLst>
          </xdr:cNvPr>
          <xdr:cNvCxnSpPr/>
        </xdr:nvCxnSpPr>
        <xdr:spPr>
          <a:xfrm>
            <a:off x="4743450" y="9410700"/>
            <a:ext cx="219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5" name="Straight Connector 1054">
            <a:extLst>
              <a:ext uri="{FF2B5EF4-FFF2-40B4-BE49-F238E27FC236}">
                <a16:creationId xmlns:a16="http://schemas.microsoft.com/office/drawing/2014/main" id="{563477FF-C2F9-4182-995A-9F0032A2B1BF}"/>
              </a:ext>
            </a:extLst>
          </xdr:cNvPr>
          <xdr:cNvCxnSpPr/>
        </xdr:nvCxnSpPr>
        <xdr:spPr>
          <a:xfrm>
            <a:off x="3081335" y="1105852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6" name="Straight Connector 1055">
            <a:extLst>
              <a:ext uri="{FF2B5EF4-FFF2-40B4-BE49-F238E27FC236}">
                <a16:creationId xmlns:a16="http://schemas.microsoft.com/office/drawing/2014/main" id="{C3C52C64-3DFF-4B95-8525-34DAE5CBDA40}"/>
              </a:ext>
            </a:extLst>
          </xdr:cNvPr>
          <xdr:cNvCxnSpPr/>
        </xdr:nvCxnSpPr>
        <xdr:spPr>
          <a:xfrm flipH="1">
            <a:off x="3509959" y="1101566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7" name="Straight Connector 1056">
            <a:extLst>
              <a:ext uri="{FF2B5EF4-FFF2-40B4-BE49-F238E27FC236}">
                <a16:creationId xmlns:a16="http://schemas.microsoft.com/office/drawing/2014/main" id="{A0EEF6E6-FB3F-4441-A49F-9B2D52EA465D}"/>
              </a:ext>
            </a:extLst>
          </xdr:cNvPr>
          <xdr:cNvCxnSpPr/>
        </xdr:nvCxnSpPr>
        <xdr:spPr>
          <a:xfrm>
            <a:off x="2247916" y="7629526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8" name="Straight Connector 1057">
            <a:extLst>
              <a:ext uri="{FF2B5EF4-FFF2-40B4-BE49-F238E27FC236}">
                <a16:creationId xmlns:a16="http://schemas.microsoft.com/office/drawing/2014/main" id="{1311D632-D1D2-4840-B048-FCFA4D68DC85}"/>
              </a:ext>
            </a:extLst>
          </xdr:cNvPr>
          <xdr:cNvCxnSpPr/>
        </xdr:nvCxnSpPr>
        <xdr:spPr>
          <a:xfrm flipH="1">
            <a:off x="2205055" y="765333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9" name="Straight Connector 1058">
            <a:extLst>
              <a:ext uri="{FF2B5EF4-FFF2-40B4-BE49-F238E27FC236}">
                <a16:creationId xmlns:a16="http://schemas.microsoft.com/office/drawing/2014/main" id="{A6150830-2DD9-44EE-8E20-46A92D33DD46}"/>
              </a:ext>
            </a:extLst>
          </xdr:cNvPr>
          <xdr:cNvCxnSpPr/>
        </xdr:nvCxnSpPr>
        <xdr:spPr>
          <a:xfrm>
            <a:off x="3895728" y="762952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0" name="Straight Connector 1059">
            <a:extLst>
              <a:ext uri="{FF2B5EF4-FFF2-40B4-BE49-F238E27FC236}">
                <a16:creationId xmlns:a16="http://schemas.microsoft.com/office/drawing/2014/main" id="{835AE81A-271B-4F53-9156-38E07EF09EAE}"/>
              </a:ext>
            </a:extLst>
          </xdr:cNvPr>
          <xdr:cNvCxnSpPr/>
        </xdr:nvCxnSpPr>
        <xdr:spPr>
          <a:xfrm flipH="1">
            <a:off x="3852866" y="76533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" name="Straight Connector 319">
            <a:extLst>
              <a:ext uri="{FF2B5EF4-FFF2-40B4-BE49-F238E27FC236}">
                <a16:creationId xmlns:a16="http://schemas.microsoft.com/office/drawing/2014/main" id="{0A502D42-151E-449D-8744-C170E2495409}"/>
              </a:ext>
            </a:extLst>
          </xdr:cNvPr>
          <xdr:cNvCxnSpPr/>
        </xdr:nvCxnSpPr>
        <xdr:spPr>
          <a:xfrm flipH="1">
            <a:off x="5300663" y="793432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71438</xdr:colOff>
      <xdr:row>375</xdr:row>
      <xdr:rowOff>61913</xdr:rowOff>
    </xdr:from>
    <xdr:to>
      <xdr:col>31</xdr:col>
      <xdr:colOff>90488</xdr:colOff>
      <xdr:row>412</xdr:row>
      <xdr:rowOff>85725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FB6249B8-A888-4FF9-9217-C05BE1CE62D6}"/>
            </a:ext>
          </a:extLst>
        </xdr:cNvPr>
        <xdr:cNvGrpSpPr/>
      </xdr:nvGrpSpPr>
      <xdr:grpSpPr>
        <a:xfrm>
          <a:off x="395288" y="58088213"/>
          <a:ext cx="4714875" cy="5310187"/>
          <a:chOff x="395288" y="27817763"/>
          <a:chExt cx="4714875" cy="5310187"/>
        </a:xfrm>
      </xdr:grpSpPr>
      <xdr:cxnSp macro="">
        <xdr:nvCxnSpPr>
          <xdr:cNvPr id="858" name="Straight Connector 857">
            <a:extLst>
              <a:ext uri="{FF2B5EF4-FFF2-40B4-BE49-F238E27FC236}">
                <a16:creationId xmlns:a16="http://schemas.microsoft.com/office/drawing/2014/main" id="{B3AC49CD-F6C9-4A22-A124-8A720DB8D760}"/>
              </a:ext>
            </a:extLst>
          </xdr:cNvPr>
          <xdr:cNvCxnSpPr/>
        </xdr:nvCxnSpPr>
        <xdr:spPr>
          <a:xfrm flipH="1">
            <a:off x="2757488" y="28479750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Straight Connector 858">
            <a:extLst>
              <a:ext uri="{FF2B5EF4-FFF2-40B4-BE49-F238E27FC236}">
                <a16:creationId xmlns:a16="http://schemas.microsoft.com/office/drawing/2014/main" id="{EEDA259C-4BFF-4B6F-BB3B-694BEDF01F63}"/>
              </a:ext>
            </a:extLst>
          </xdr:cNvPr>
          <xdr:cNvCxnSpPr/>
        </xdr:nvCxnSpPr>
        <xdr:spPr>
          <a:xfrm>
            <a:off x="1547813" y="28479750"/>
            <a:ext cx="1200150" cy="1975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Straight Connector 861">
            <a:extLst>
              <a:ext uri="{FF2B5EF4-FFF2-40B4-BE49-F238E27FC236}">
                <a16:creationId xmlns:a16="http://schemas.microsoft.com/office/drawing/2014/main" id="{6685F636-7A76-4F74-A206-D1370274937B}"/>
              </a:ext>
            </a:extLst>
          </xdr:cNvPr>
          <xdr:cNvCxnSpPr/>
        </xdr:nvCxnSpPr>
        <xdr:spPr>
          <a:xfrm>
            <a:off x="1133475" y="29646563"/>
            <a:ext cx="1624013" cy="11239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5" name="Straight Connector 864">
            <a:extLst>
              <a:ext uri="{FF2B5EF4-FFF2-40B4-BE49-F238E27FC236}">
                <a16:creationId xmlns:a16="http://schemas.microsoft.com/office/drawing/2014/main" id="{DA73EA52-F49B-4075-89E3-02F5D6CB1EEC}"/>
              </a:ext>
            </a:extLst>
          </xdr:cNvPr>
          <xdr:cNvCxnSpPr/>
        </xdr:nvCxnSpPr>
        <xdr:spPr>
          <a:xfrm>
            <a:off x="1138238" y="30237113"/>
            <a:ext cx="1614487" cy="6703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8" name="Straight Connector 867">
            <a:extLst>
              <a:ext uri="{FF2B5EF4-FFF2-40B4-BE49-F238E27FC236}">
                <a16:creationId xmlns:a16="http://schemas.microsoft.com/office/drawing/2014/main" id="{F891F42F-18AA-4C0D-A00E-9AB98D745989}"/>
              </a:ext>
            </a:extLst>
          </xdr:cNvPr>
          <xdr:cNvCxnSpPr/>
        </xdr:nvCxnSpPr>
        <xdr:spPr>
          <a:xfrm>
            <a:off x="1143000" y="31141988"/>
            <a:ext cx="1604963" cy="2238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0" name="Straight Connector 869">
            <a:extLst>
              <a:ext uri="{FF2B5EF4-FFF2-40B4-BE49-F238E27FC236}">
                <a16:creationId xmlns:a16="http://schemas.microsoft.com/office/drawing/2014/main" id="{250724DA-D0B5-4EC8-9D25-C0F5F51FBC45}"/>
              </a:ext>
            </a:extLst>
          </xdr:cNvPr>
          <xdr:cNvCxnSpPr/>
        </xdr:nvCxnSpPr>
        <xdr:spPr>
          <a:xfrm>
            <a:off x="1114425" y="31527750"/>
            <a:ext cx="1638300" cy="901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1" name="Straight Connector 870">
            <a:extLst>
              <a:ext uri="{FF2B5EF4-FFF2-40B4-BE49-F238E27FC236}">
                <a16:creationId xmlns:a16="http://schemas.microsoft.com/office/drawing/2014/main" id="{253409A5-32FD-4E49-91FF-661847279D9B}"/>
              </a:ext>
            </a:extLst>
          </xdr:cNvPr>
          <xdr:cNvCxnSpPr/>
        </xdr:nvCxnSpPr>
        <xdr:spPr>
          <a:xfrm flipV="1">
            <a:off x="2752725" y="31522990"/>
            <a:ext cx="1609725" cy="96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7" name="Straight Connector 866">
            <a:extLst>
              <a:ext uri="{FF2B5EF4-FFF2-40B4-BE49-F238E27FC236}">
                <a16:creationId xmlns:a16="http://schemas.microsoft.com/office/drawing/2014/main" id="{EDAADF95-3B95-4AC2-B72C-37A28577187C}"/>
              </a:ext>
            </a:extLst>
          </xdr:cNvPr>
          <xdr:cNvCxnSpPr/>
        </xdr:nvCxnSpPr>
        <xdr:spPr>
          <a:xfrm flipV="1">
            <a:off x="2747963" y="30727650"/>
            <a:ext cx="1628775" cy="41965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4" name="Straight Connector 863">
            <a:extLst>
              <a:ext uri="{FF2B5EF4-FFF2-40B4-BE49-F238E27FC236}">
                <a16:creationId xmlns:a16="http://schemas.microsoft.com/office/drawing/2014/main" id="{149F9483-0ED3-400E-BA02-3C8A4CEBFE86}"/>
              </a:ext>
            </a:extLst>
          </xdr:cNvPr>
          <xdr:cNvCxnSpPr/>
        </xdr:nvCxnSpPr>
        <xdr:spPr>
          <a:xfrm flipV="1">
            <a:off x="2752725" y="30227588"/>
            <a:ext cx="1619250" cy="67892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3" name="Straight Connector 862">
            <a:extLst>
              <a:ext uri="{FF2B5EF4-FFF2-40B4-BE49-F238E27FC236}">
                <a16:creationId xmlns:a16="http://schemas.microsoft.com/office/drawing/2014/main" id="{EB5AF0B8-B725-45DC-8C4B-7F9973357692}"/>
              </a:ext>
            </a:extLst>
          </xdr:cNvPr>
          <xdr:cNvCxnSpPr/>
        </xdr:nvCxnSpPr>
        <xdr:spPr>
          <a:xfrm flipV="1">
            <a:off x="2757488" y="29665613"/>
            <a:ext cx="1614487" cy="110059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0" name="Straight Connector 859">
            <a:extLst>
              <a:ext uri="{FF2B5EF4-FFF2-40B4-BE49-F238E27FC236}">
                <a16:creationId xmlns:a16="http://schemas.microsoft.com/office/drawing/2014/main" id="{E6B15110-02B5-4BAC-9FDD-9F389B6FE31E}"/>
              </a:ext>
            </a:extLst>
          </xdr:cNvPr>
          <xdr:cNvCxnSpPr/>
        </xdr:nvCxnSpPr>
        <xdr:spPr>
          <a:xfrm flipH="1">
            <a:off x="2757297" y="28465463"/>
            <a:ext cx="1205103" cy="1995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" name="Straight Connector 748">
            <a:extLst>
              <a:ext uri="{FF2B5EF4-FFF2-40B4-BE49-F238E27FC236}">
                <a16:creationId xmlns:a16="http://schemas.microsoft.com/office/drawing/2014/main" id="{F5B76E16-CC86-4200-89F4-8B6E85D48A1D}"/>
              </a:ext>
            </a:extLst>
          </xdr:cNvPr>
          <xdr:cNvCxnSpPr/>
        </xdr:nvCxnSpPr>
        <xdr:spPr>
          <a:xfrm flipV="1">
            <a:off x="2867025" y="28474990"/>
            <a:ext cx="457200" cy="142820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9" name="Straight Connector 868">
            <a:extLst>
              <a:ext uri="{FF2B5EF4-FFF2-40B4-BE49-F238E27FC236}">
                <a16:creationId xmlns:a16="http://schemas.microsoft.com/office/drawing/2014/main" id="{38384020-9EA7-4EFF-B379-D1C7EAD92290}"/>
              </a:ext>
            </a:extLst>
          </xdr:cNvPr>
          <xdr:cNvCxnSpPr/>
        </xdr:nvCxnSpPr>
        <xdr:spPr>
          <a:xfrm flipV="1">
            <a:off x="2757488" y="31151514"/>
            <a:ext cx="1614487" cy="2150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0" name="Straight Connector 849">
            <a:extLst>
              <a:ext uri="{FF2B5EF4-FFF2-40B4-BE49-F238E27FC236}">
                <a16:creationId xmlns:a16="http://schemas.microsoft.com/office/drawing/2014/main" id="{9A7073B8-C82C-4B02-93DA-EA2D687F5A8E}"/>
              </a:ext>
            </a:extLst>
          </xdr:cNvPr>
          <xdr:cNvCxnSpPr/>
        </xdr:nvCxnSpPr>
        <xdr:spPr>
          <a:xfrm flipV="1">
            <a:off x="2752725" y="28332113"/>
            <a:ext cx="0" cy="450532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" name="Straight Connector 692">
            <a:extLst>
              <a:ext uri="{FF2B5EF4-FFF2-40B4-BE49-F238E27FC236}">
                <a16:creationId xmlns:a16="http://schemas.microsoft.com/office/drawing/2014/main" id="{B47EE661-95B6-48DE-A359-8473829626F0}"/>
              </a:ext>
            </a:extLst>
          </xdr:cNvPr>
          <xdr:cNvCxnSpPr/>
        </xdr:nvCxnSpPr>
        <xdr:spPr>
          <a:xfrm>
            <a:off x="2181225" y="28479750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Straight Connector 695">
            <a:extLst>
              <a:ext uri="{FF2B5EF4-FFF2-40B4-BE49-F238E27FC236}">
                <a16:creationId xmlns:a16="http://schemas.microsoft.com/office/drawing/2014/main" id="{EC5AF4DF-AE02-4E6F-86E1-3A6B6BCF686A}"/>
              </a:ext>
            </a:extLst>
          </xdr:cNvPr>
          <xdr:cNvCxnSpPr/>
        </xdr:nvCxnSpPr>
        <xdr:spPr>
          <a:xfrm>
            <a:off x="1143000" y="28903613"/>
            <a:ext cx="1614488" cy="1719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" name="Straight Connector 743">
            <a:extLst>
              <a:ext uri="{FF2B5EF4-FFF2-40B4-BE49-F238E27FC236}">
                <a16:creationId xmlns:a16="http://schemas.microsoft.com/office/drawing/2014/main" id="{4AD08FB8-ED4C-4B24-907E-6AE8B7F9F3B6}"/>
              </a:ext>
            </a:extLst>
          </xdr:cNvPr>
          <xdr:cNvCxnSpPr/>
        </xdr:nvCxnSpPr>
        <xdr:spPr>
          <a:xfrm flipV="1">
            <a:off x="2762250" y="28908375"/>
            <a:ext cx="1604963" cy="1709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" name="Straight Connector 746">
            <a:extLst>
              <a:ext uri="{FF2B5EF4-FFF2-40B4-BE49-F238E27FC236}">
                <a16:creationId xmlns:a16="http://schemas.microsoft.com/office/drawing/2014/main" id="{96F3C4F2-1755-4B42-92C4-77F7942219F9}"/>
              </a:ext>
            </a:extLst>
          </xdr:cNvPr>
          <xdr:cNvCxnSpPr/>
        </xdr:nvCxnSpPr>
        <xdr:spPr>
          <a:xfrm flipV="1">
            <a:off x="2752725" y="28470225"/>
            <a:ext cx="0" cy="142875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Straight Connector 747">
            <a:extLst>
              <a:ext uri="{FF2B5EF4-FFF2-40B4-BE49-F238E27FC236}">
                <a16:creationId xmlns:a16="http://schemas.microsoft.com/office/drawing/2014/main" id="{77F7293D-E97F-4BD7-BD5D-25BCB340CFC6}"/>
              </a:ext>
            </a:extLst>
          </xdr:cNvPr>
          <xdr:cNvCxnSpPr/>
        </xdr:nvCxnSpPr>
        <xdr:spPr>
          <a:xfrm flipH="1" flipV="1">
            <a:off x="2181225" y="28470225"/>
            <a:ext cx="466178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Straight Connector 750">
            <a:extLst>
              <a:ext uri="{FF2B5EF4-FFF2-40B4-BE49-F238E27FC236}">
                <a16:creationId xmlns:a16="http://schemas.microsoft.com/office/drawing/2014/main" id="{08B69BDD-B043-443A-8ECD-ECFC60A5A9C4}"/>
              </a:ext>
            </a:extLst>
          </xdr:cNvPr>
          <xdr:cNvCxnSpPr/>
        </xdr:nvCxnSpPr>
        <xdr:spPr>
          <a:xfrm flipH="1" flipV="1">
            <a:off x="1547813" y="28474988"/>
            <a:ext cx="1042987" cy="17287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" name="Straight Connector 751">
            <a:extLst>
              <a:ext uri="{FF2B5EF4-FFF2-40B4-BE49-F238E27FC236}">
                <a16:creationId xmlns:a16="http://schemas.microsoft.com/office/drawing/2014/main" id="{4D2E3906-F45C-4DBA-AFAA-CF03429BF9CF}"/>
              </a:ext>
            </a:extLst>
          </xdr:cNvPr>
          <xdr:cNvCxnSpPr/>
        </xdr:nvCxnSpPr>
        <xdr:spPr>
          <a:xfrm flipH="1">
            <a:off x="2914651" y="28465463"/>
            <a:ext cx="1057274" cy="17287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Straight Connector 753">
            <a:extLst>
              <a:ext uri="{FF2B5EF4-FFF2-40B4-BE49-F238E27FC236}">
                <a16:creationId xmlns:a16="http://schemas.microsoft.com/office/drawing/2014/main" id="{D7687672-5963-4BC3-8CDD-440CB160E7F3}"/>
              </a:ext>
            </a:extLst>
          </xdr:cNvPr>
          <xdr:cNvCxnSpPr/>
        </xdr:nvCxnSpPr>
        <xdr:spPr>
          <a:xfrm flipH="1" flipV="1">
            <a:off x="1138239" y="28903613"/>
            <a:ext cx="1462086" cy="15525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" name="Straight Connector 754">
            <a:extLst>
              <a:ext uri="{FF2B5EF4-FFF2-40B4-BE49-F238E27FC236}">
                <a16:creationId xmlns:a16="http://schemas.microsoft.com/office/drawing/2014/main" id="{223A3A09-906B-4C94-A1D7-9CB3DC491949}"/>
              </a:ext>
            </a:extLst>
          </xdr:cNvPr>
          <xdr:cNvCxnSpPr/>
        </xdr:nvCxnSpPr>
        <xdr:spPr>
          <a:xfrm flipH="1">
            <a:off x="2914650" y="28894087"/>
            <a:ext cx="1457325" cy="15668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Straight Connector 756">
            <a:extLst>
              <a:ext uri="{FF2B5EF4-FFF2-40B4-BE49-F238E27FC236}">
                <a16:creationId xmlns:a16="http://schemas.microsoft.com/office/drawing/2014/main" id="{138B6BC7-26F9-4EC4-A901-4A68A01F6E83}"/>
              </a:ext>
            </a:extLst>
          </xdr:cNvPr>
          <xdr:cNvCxnSpPr/>
        </xdr:nvCxnSpPr>
        <xdr:spPr>
          <a:xfrm flipH="1" flipV="1">
            <a:off x="1128713" y="29646563"/>
            <a:ext cx="1462087" cy="1014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" name="Straight Connector 757">
            <a:extLst>
              <a:ext uri="{FF2B5EF4-FFF2-40B4-BE49-F238E27FC236}">
                <a16:creationId xmlns:a16="http://schemas.microsoft.com/office/drawing/2014/main" id="{E79903DE-C0B4-4C73-80A3-D34822BF2464}"/>
              </a:ext>
            </a:extLst>
          </xdr:cNvPr>
          <xdr:cNvCxnSpPr/>
        </xdr:nvCxnSpPr>
        <xdr:spPr>
          <a:xfrm flipH="1">
            <a:off x="2919413" y="29660850"/>
            <a:ext cx="1457325" cy="9953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Straight Connector 759">
            <a:extLst>
              <a:ext uri="{FF2B5EF4-FFF2-40B4-BE49-F238E27FC236}">
                <a16:creationId xmlns:a16="http://schemas.microsoft.com/office/drawing/2014/main" id="{FBCCD849-0482-4274-A019-11F62BABE841}"/>
              </a:ext>
            </a:extLst>
          </xdr:cNvPr>
          <xdr:cNvCxnSpPr/>
        </xdr:nvCxnSpPr>
        <xdr:spPr>
          <a:xfrm flipH="1" flipV="1">
            <a:off x="1138238" y="30237111"/>
            <a:ext cx="1466850" cy="61436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" name="Straight Connector 760">
            <a:extLst>
              <a:ext uri="{FF2B5EF4-FFF2-40B4-BE49-F238E27FC236}">
                <a16:creationId xmlns:a16="http://schemas.microsoft.com/office/drawing/2014/main" id="{8599CBCC-A6F4-4312-BBD6-1EE18F1A7291}"/>
              </a:ext>
            </a:extLst>
          </xdr:cNvPr>
          <xdr:cNvCxnSpPr/>
        </xdr:nvCxnSpPr>
        <xdr:spPr>
          <a:xfrm flipH="1">
            <a:off x="2914652" y="30227588"/>
            <a:ext cx="1466848" cy="60959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Straight Connector 762">
            <a:extLst>
              <a:ext uri="{FF2B5EF4-FFF2-40B4-BE49-F238E27FC236}">
                <a16:creationId xmlns:a16="http://schemas.microsoft.com/office/drawing/2014/main" id="{4A7E3F39-D030-4790-B280-CCDE2ACB18A0}"/>
              </a:ext>
            </a:extLst>
          </xdr:cNvPr>
          <xdr:cNvCxnSpPr/>
        </xdr:nvCxnSpPr>
        <xdr:spPr>
          <a:xfrm flipH="1" flipV="1">
            <a:off x="1133475" y="30718125"/>
            <a:ext cx="1457325" cy="3810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" name="Straight Connector 763">
            <a:extLst>
              <a:ext uri="{FF2B5EF4-FFF2-40B4-BE49-F238E27FC236}">
                <a16:creationId xmlns:a16="http://schemas.microsoft.com/office/drawing/2014/main" id="{EE0E4B9A-7D6E-4657-8968-914E24FEE2FF}"/>
              </a:ext>
            </a:extLst>
          </xdr:cNvPr>
          <xdr:cNvCxnSpPr/>
        </xdr:nvCxnSpPr>
        <xdr:spPr>
          <a:xfrm flipH="1">
            <a:off x="2919413" y="30727650"/>
            <a:ext cx="1452562" cy="37623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" name="Straight Connector 765">
            <a:extLst>
              <a:ext uri="{FF2B5EF4-FFF2-40B4-BE49-F238E27FC236}">
                <a16:creationId xmlns:a16="http://schemas.microsoft.com/office/drawing/2014/main" id="{2D64A933-2B26-4F1E-9579-82CAEA4A6FB1}"/>
              </a:ext>
            </a:extLst>
          </xdr:cNvPr>
          <xdr:cNvCxnSpPr/>
        </xdr:nvCxnSpPr>
        <xdr:spPr>
          <a:xfrm flipH="1" flipV="1">
            <a:off x="1138238" y="31137225"/>
            <a:ext cx="1452563" cy="20478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" name="Straight Connector 766">
            <a:extLst>
              <a:ext uri="{FF2B5EF4-FFF2-40B4-BE49-F238E27FC236}">
                <a16:creationId xmlns:a16="http://schemas.microsoft.com/office/drawing/2014/main" id="{7BC6D0E9-8753-4CA3-9028-0EF0D811BD9F}"/>
              </a:ext>
            </a:extLst>
          </xdr:cNvPr>
          <xdr:cNvCxnSpPr/>
        </xdr:nvCxnSpPr>
        <xdr:spPr>
          <a:xfrm flipH="1">
            <a:off x="2904197" y="31156275"/>
            <a:ext cx="1467779" cy="1905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" name="Straight Connector 788">
            <a:extLst>
              <a:ext uri="{FF2B5EF4-FFF2-40B4-BE49-F238E27FC236}">
                <a16:creationId xmlns:a16="http://schemas.microsoft.com/office/drawing/2014/main" id="{37E3B40B-B1A2-46F5-A12E-F81FEC63D3E0}"/>
              </a:ext>
            </a:extLst>
          </xdr:cNvPr>
          <xdr:cNvCxnSpPr/>
        </xdr:nvCxnSpPr>
        <xdr:spPr>
          <a:xfrm flipH="1" flipV="1">
            <a:off x="1123950" y="31527752"/>
            <a:ext cx="1466850" cy="8095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Straight Connector 789">
            <a:extLst>
              <a:ext uri="{FF2B5EF4-FFF2-40B4-BE49-F238E27FC236}">
                <a16:creationId xmlns:a16="http://schemas.microsoft.com/office/drawing/2014/main" id="{6C2D90C1-B66E-43E5-8691-B04D09CF41D3}"/>
              </a:ext>
            </a:extLst>
          </xdr:cNvPr>
          <xdr:cNvCxnSpPr/>
        </xdr:nvCxnSpPr>
        <xdr:spPr>
          <a:xfrm flipH="1">
            <a:off x="2914649" y="31522988"/>
            <a:ext cx="1462089" cy="8571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" name="Straight Connector 790">
            <a:extLst>
              <a:ext uri="{FF2B5EF4-FFF2-40B4-BE49-F238E27FC236}">
                <a16:creationId xmlns:a16="http://schemas.microsoft.com/office/drawing/2014/main" id="{911F94E7-9FCB-486D-A838-073E5FEAD24B}"/>
              </a:ext>
            </a:extLst>
          </xdr:cNvPr>
          <xdr:cNvCxnSpPr/>
        </xdr:nvCxnSpPr>
        <xdr:spPr>
          <a:xfrm>
            <a:off x="1066799" y="32756475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Straight Connector 791">
            <a:extLst>
              <a:ext uri="{FF2B5EF4-FFF2-40B4-BE49-F238E27FC236}">
                <a16:creationId xmlns:a16="http://schemas.microsoft.com/office/drawing/2014/main" id="{1AEE8FD8-4B35-434F-975A-A71893B382EB}"/>
              </a:ext>
            </a:extLst>
          </xdr:cNvPr>
          <xdr:cNvCxnSpPr/>
        </xdr:nvCxnSpPr>
        <xdr:spPr>
          <a:xfrm>
            <a:off x="1133475" y="31946850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Straight Connector 792">
            <a:extLst>
              <a:ext uri="{FF2B5EF4-FFF2-40B4-BE49-F238E27FC236}">
                <a16:creationId xmlns:a16="http://schemas.microsoft.com/office/drawing/2014/main" id="{B947E698-7EAC-4F4D-8069-133A6519776F}"/>
              </a:ext>
            </a:extLst>
          </xdr:cNvPr>
          <xdr:cNvCxnSpPr/>
        </xdr:nvCxnSpPr>
        <xdr:spPr>
          <a:xfrm flipH="1">
            <a:off x="1090613" y="327183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" name="Straight Connector 793">
            <a:extLst>
              <a:ext uri="{FF2B5EF4-FFF2-40B4-BE49-F238E27FC236}">
                <a16:creationId xmlns:a16="http://schemas.microsoft.com/office/drawing/2014/main" id="{B299BF46-7725-4F17-B0D9-FA87E1BB803B}"/>
              </a:ext>
            </a:extLst>
          </xdr:cNvPr>
          <xdr:cNvCxnSpPr/>
        </xdr:nvCxnSpPr>
        <xdr:spPr>
          <a:xfrm>
            <a:off x="4371975" y="31946850"/>
            <a:ext cx="0" cy="1181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" name="Straight Connector 794">
            <a:extLst>
              <a:ext uri="{FF2B5EF4-FFF2-40B4-BE49-F238E27FC236}">
                <a16:creationId xmlns:a16="http://schemas.microsoft.com/office/drawing/2014/main" id="{77AA9294-5BCB-4984-B665-3578BD538AE6}"/>
              </a:ext>
            </a:extLst>
          </xdr:cNvPr>
          <xdr:cNvCxnSpPr/>
        </xdr:nvCxnSpPr>
        <xdr:spPr>
          <a:xfrm flipH="1">
            <a:off x="4329113" y="3271837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" name="Straight Connector 795">
            <a:extLst>
              <a:ext uri="{FF2B5EF4-FFF2-40B4-BE49-F238E27FC236}">
                <a16:creationId xmlns:a16="http://schemas.microsoft.com/office/drawing/2014/main" id="{6A269C0F-0C10-43A5-BB58-4F835B378829}"/>
              </a:ext>
            </a:extLst>
          </xdr:cNvPr>
          <xdr:cNvCxnSpPr/>
        </xdr:nvCxnSpPr>
        <xdr:spPr>
          <a:xfrm flipH="1">
            <a:off x="2709862" y="3271837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" name="Straight Connector 796">
            <a:extLst>
              <a:ext uri="{FF2B5EF4-FFF2-40B4-BE49-F238E27FC236}">
                <a16:creationId xmlns:a16="http://schemas.microsoft.com/office/drawing/2014/main" id="{4F4ADAC0-4416-4948-9D59-0D79AC9DBA17}"/>
              </a:ext>
            </a:extLst>
          </xdr:cNvPr>
          <xdr:cNvCxnSpPr/>
        </xdr:nvCxnSpPr>
        <xdr:spPr>
          <a:xfrm>
            <a:off x="1066800" y="32184975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" name="Straight Connector 797">
            <a:extLst>
              <a:ext uri="{FF2B5EF4-FFF2-40B4-BE49-F238E27FC236}">
                <a16:creationId xmlns:a16="http://schemas.microsoft.com/office/drawing/2014/main" id="{5AF28F5F-0B57-4B08-B828-9427979631BB}"/>
              </a:ext>
            </a:extLst>
          </xdr:cNvPr>
          <xdr:cNvCxnSpPr/>
        </xdr:nvCxnSpPr>
        <xdr:spPr>
          <a:xfrm>
            <a:off x="2590800" y="3195637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Straight Connector 798">
            <a:extLst>
              <a:ext uri="{FF2B5EF4-FFF2-40B4-BE49-F238E27FC236}">
                <a16:creationId xmlns:a16="http://schemas.microsoft.com/office/drawing/2014/main" id="{BDB81FEC-3A31-4DAB-84B6-4A5DD135CF52}"/>
              </a:ext>
            </a:extLst>
          </xdr:cNvPr>
          <xdr:cNvCxnSpPr/>
        </xdr:nvCxnSpPr>
        <xdr:spPr>
          <a:xfrm flipH="1">
            <a:off x="2543175" y="32142112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" name="Straight Connector 799">
            <a:extLst>
              <a:ext uri="{FF2B5EF4-FFF2-40B4-BE49-F238E27FC236}">
                <a16:creationId xmlns:a16="http://schemas.microsoft.com/office/drawing/2014/main" id="{25B4EC51-7CCD-4C19-B3F3-D8D96B4731F6}"/>
              </a:ext>
            </a:extLst>
          </xdr:cNvPr>
          <xdr:cNvCxnSpPr/>
        </xdr:nvCxnSpPr>
        <xdr:spPr>
          <a:xfrm>
            <a:off x="2914650" y="31956374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" name="Straight Connector 800">
            <a:extLst>
              <a:ext uri="{FF2B5EF4-FFF2-40B4-BE49-F238E27FC236}">
                <a16:creationId xmlns:a16="http://schemas.microsoft.com/office/drawing/2014/main" id="{327445E8-959D-4328-A6E6-88CDECBA30CC}"/>
              </a:ext>
            </a:extLst>
          </xdr:cNvPr>
          <xdr:cNvCxnSpPr/>
        </xdr:nvCxnSpPr>
        <xdr:spPr>
          <a:xfrm flipH="1">
            <a:off x="2867025" y="3214211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Straight Connector 801">
            <a:extLst>
              <a:ext uri="{FF2B5EF4-FFF2-40B4-BE49-F238E27FC236}">
                <a16:creationId xmlns:a16="http://schemas.microsoft.com/office/drawing/2014/main" id="{64A0EB65-02DB-496B-B7EF-F27A44A3C34A}"/>
              </a:ext>
            </a:extLst>
          </xdr:cNvPr>
          <xdr:cNvCxnSpPr/>
        </xdr:nvCxnSpPr>
        <xdr:spPr>
          <a:xfrm flipH="1">
            <a:off x="3190882" y="31861127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" name="Straight Connector 802">
            <a:extLst>
              <a:ext uri="{FF2B5EF4-FFF2-40B4-BE49-F238E27FC236}">
                <a16:creationId xmlns:a16="http://schemas.microsoft.com/office/drawing/2014/main" id="{D41B5719-D28E-427C-B435-53443160C115}"/>
              </a:ext>
            </a:extLst>
          </xdr:cNvPr>
          <xdr:cNvCxnSpPr/>
        </xdr:nvCxnSpPr>
        <xdr:spPr>
          <a:xfrm>
            <a:off x="1828800" y="31827787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" name="Straight Connector 803">
            <a:extLst>
              <a:ext uri="{FF2B5EF4-FFF2-40B4-BE49-F238E27FC236}">
                <a16:creationId xmlns:a16="http://schemas.microsoft.com/office/drawing/2014/main" id="{7B8CA313-2C7A-43B0-8287-C7E7F1D2D87D}"/>
              </a:ext>
            </a:extLst>
          </xdr:cNvPr>
          <xdr:cNvCxnSpPr/>
        </xdr:nvCxnSpPr>
        <xdr:spPr>
          <a:xfrm>
            <a:off x="1890712" y="31813499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" name="Straight Connector 805">
            <a:extLst>
              <a:ext uri="{FF2B5EF4-FFF2-40B4-BE49-F238E27FC236}">
                <a16:creationId xmlns:a16="http://schemas.microsoft.com/office/drawing/2014/main" id="{26FF3677-15CD-45D8-B208-06D3A7CE5F44}"/>
              </a:ext>
            </a:extLst>
          </xdr:cNvPr>
          <xdr:cNvCxnSpPr/>
        </xdr:nvCxnSpPr>
        <xdr:spPr>
          <a:xfrm flipH="1">
            <a:off x="1090613" y="32146867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" name="Straight Connector 808">
            <a:extLst>
              <a:ext uri="{FF2B5EF4-FFF2-40B4-BE49-F238E27FC236}">
                <a16:creationId xmlns:a16="http://schemas.microsoft.com/office/drawing/2014/main" id="{9891063C-170A-4F24-843A-EFACCE232CE6}"/>
              </a:ext>
            </a:extLst>
          </xdr:cNvPr>
          <xdr:cNvCxnSpPr/>
        </xdr:nvCxnSpPr>
        <xdr:spPr>
          <a:xfrm>
            <a:off x="1857375" y="3232785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" name="Straight Connector 810">
            <a:extLst>
              <a:ext uri="{FF2B5EF4-FFF2-40B4-BE49-F238E27FC236}">
                <a16:creationId xmlns:a16="http://schemas.microsoft.com/office/drawing/2014/main" id="{18462D9B-1797-41B7-981E-3C59501C5551}"/>
              </a:ext>
            </a:extLst>
          </xdr:cNvPr>
          <xdr:cNvCxnSpPr/>
        </xdr:nvCxnSpPr>
        <xdr:spPr>
          <a:xfrm>
            <a:off x="3648075" y="3221831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" name="Straight Connector 811">
            <a:extLst>
              <a:ext uri="{FF2B5EF4-FFF2-40B4-BE49-F238E27FC236}">
                <a16:creationId xmlns:a16="http://schemas.microsoft.com/office/drawing/2014/main" id="{B034916C-0784-4020-B4FF-13F1B61418E7}"/>
              </a:ext>
            </a:extLst>
          </xdr:cNvPr>
          <xdr:cNvCxnSpPr/>
        </xdr:nvCxnSpPr>
        <xdr:spPr>
          <a:xfrm flipH="1">
            <a:off x="3605212" y="3243263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" name="Straight Connector 812">
            <a:extLst>
              <a:ext uri="{FF2B5EF4-FFF2-40B4-BE49-F238E27FC236}">
                <a16:creationId xmlns:a16="http://schemas.microsoft.com/office/drawing/2014/main" id="{9A80AABE-69EB-4EF1-8D63-5338493A17EA}"/>
              </a:ext>
            </a:extLst>
          </xdr:cNvPr>
          <xdr:cNvCxnSpPr/>
        </xdr:nvCxnSpPr>
        <xdr:spPr>
          <a:xfrm flipV="1">
            <a:off x="1133475" y="27832050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Straight Connector 813">
            <a:extLst>
              <a:ext uri="{FF2B5EF4-FFF2-40B4-BE49-F238E27FC236}">
                <a16:creationId xmlns:a16="http://schemas.microsoft.com/office/drawing/2014/main" id="{5C4FD1DB-B330-4BE2-B1D9-49E527BD5F0C}"/>
              </a:ext>
            </a:extLst>
          </xdr:cNvPr>
          <xdr:cNvCxnSpPr/>
        </xdr:nvCxnSpPr>
        <xdr:spPr>
          <a:xfrm>
            <a:off x="1062038" y="2818447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" name="Straight Connector 814">
            <a:extLst>
              <a:ext uri="{FF2B5EF4-FFF2-40B4-BE49-F238E27FC236}">
                <a16:creationId xmlns:a16="http://schemas.microsoft.com/office/drawing/2014/main" id="{D0D71529-54BF-41D6-9843-A01147A9C3EB}"/>
              </a:ext>
            </a:extLst>
          </xdr:cNvPr>
          <xdr:cNvCxnSpPr/>
        </xdr:nvCxnSpPr>
        <xdr:spPr>
          <a:xfrm flipH="1">
            <a:off x="1085845" y="281463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" name="Straight Connector 815">
            <a:extLst>
              <a:ext uri="{FF2B5EF4-FFF2-40B4-BE49-F238E27FC236}">
                <a16:creationId xmlns:a16="http://schemas.microsoft.com/office/drawing/2014/main" id="{8C4D1E2F-F69B-4AC0-8EDF-C8BB2DFBB3C8}"/>
              </a:ext>
            </a:extLst>
          </xdr:cNvPr>
          <xdr:cNvCxnSpPr/>
        </xdr:nvCxnSpPr>
        <xdr:spPr>
          <a:xfrm>
            <a:off x="1543062" y="2811780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" name="Straight Connector 816">
            <a:extLst>
              <a:ext uri="{FF2B5EF4-FFF2-40B4-BE49-F238E27FC236}">
                <a16:creationId xmlns:a16="http://schemas.microsoft.com/office/drawing/2014/main" id="{DAE14DFA-99D9-4FC1-A414-5B7B14655408}"/>
              </a:ext>
            </a:extLst>
          </xdr:cNvPr>
          <xdr:cNvCxnSpPr/>
        </xdr:nvCxnSpPr>
        <xdr:spPr>
          <a:xfrm flipH="1">
            <a:off x="1500201" y="281416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8" name="Straight Connector 817">
            <a:extLst>
              <a:ext uri="{FF2B5EF4-FFF2-40B4-BE49-F238E27FC236}">
                <a16:creationId xmlns:a16="http://schemas.microsoft.com/office/drawing/2014/main" id="{93671A2B-DDB6-4CDC-87DE-67941064D917}"/>
              </a:ext>
            </a:extLst>
          </xdr:cNvPr>
          <xdr:cNvCxnSpPr/>
        </xdr:nvCxnSpPr>
        <xdr:spPr>
          <a:xfrm>
            <a:off x="2752726" y="27817763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9" name="Straight Connector 818">
            <a:extLst>
              <a:ext uri="{FF2B5EF4-FFF2-40B4-BE49-F238E27FC236}">
                <a16:creationId xmlns:a16="http://schemas.microsoft.com/office/drawing/2014/main" id="{F043429B-2308-4E20-8C4D-337BF3DFD594}"/>
              </a:ext>
            </a:extLst>
          </xdr:cNvPr>
          <xdr:cNvCxnSpPr/>
        </xdr:nvCxnSpPr>
        <xdr:spPr>
          <a:xfrm>
            <a:off x="3967166" y="2812256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" name="Straight Connector 819">
            <a:extLst>
              <a:ext uri="{FF2B5EF4-FFF2-40B4-BE49-F238E27FC236}">
                <a16:creationId xmlns:a16="http://schemas.microsoft.com/office/drawing/2014/main" id="{B3D51B70-9373-437F-9D3C-DF304F2CF3C9}"/>
              </a:ext>
            </a:extLst>
          </xdr:cNvPr>
          <xdr:cNvCxnSpPr/>
        </xdr:nvCxnSpPr>
        <xdr:spPr>
          <a:xfrm flipH="1">
            <a:off x="3933829" y="2814637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1" name="Straight Connector 820">
            <a:extLst>
              <a:ext uri="{FF2B5EF4-FFF2-40B4-BE49-F238E27FC236}">
                <a16:creationId xmlns:a16="http://schemas.microsoft.com/office/drawing/2014/main" id="{64023F20-CC7D-4350-8AFA-2CA34F765178}"/>
              </a:ext>
            </a:extLst>
          </xdr:cNvPr>
          <xdr:cNvCxnSpPr/>
        </xdr:nvCxnSpPr>
        <xdr:spPr>
          <a:xfrm flipV="1">
            <a:off x="4371975" y="27827287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" name="Straight Connector 821">
            <a:extLst>
              <a:ext uri="{FF2B5EF4-FFF2-40B4-BE49-F238E27FC236}">
                <a16:creationId xmlns:a16="http://schemas.microsoft.com/office/drawing/2014/main" id="{C0E8C986-8544-4B4D-AFE8-0D87818EBED8}"/>
              </a:ext>
            </a:extLst>
          </xdr:cNvPr>
          <xdr:cNvCxnSpPr/>
        </xdr:nvCxnSpPr>
        <xdr:spPr>
          <a:xfrm flipH="1">
            <a:off x="4329113" y="281416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" name="Straight Connector 822">
            <a:extLst>
              <a:ext uri="{FF2B5EF4-FFF2-40B4-BE49-F238E27FC236}">
                <a16:creationId xmlns:a16="http://schemas.microsoft.com/office/drawing/2014/main" id="{9F409093-B74B-4429-9CC2-28A578F6DFC0}"/>
              </a:ext>
            </a:extLst>
          </xdr:cNvPr>
          <xdr:cNvCxnSpPr/>
        </xdr:nvCxnSpPr>
        <xdr:spPr>
          <a:xfrm>
            <a:off x="1057275" y="2789872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" name="Straight Connector 823">
            <a:extLst>
              <a:ext uri="{FF2B5EF4-FFF2-40B4-BE49-F238E27FC236}">
                <a16:creationId xmlns:a16="http://schemas.microsoft.com/office/drawing/2014/main" id="{51C6E33B-59BC-4A6B-952D-70C32B9E6715}"/>
              </a:ext>
            </a:extLst>
          </xdr:cNvPr>
          <xdr:cNvCxnSpPr/>
        </xdr:nvCxnSpPr>
        <xdr:spPr>
          <a:xfrm flipH="1">
            <a:off x="1085850" y="278606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" name="Straight Connector 824">
            <a:extLst>
              <a:ext uri="{FF2B5EF4-FFF2-40B4-BE49-F238E27FC236}">
                <a16:creationId xmlns:a16="http://schemas.microsoft.com/office/drawing/2014/main" id="{A5B39B8D-27BC-4D97-BDBC-5B2A5583787C}"/>
              </a:ext>
            </a:extLst>
          </xdr:cNvPr>
          <xdr:cNvCxnSpPr/>
        </xdr:nvCxnSpPr>
        <xdr:spPr>
          <a:xfrm flipH="1">
            <a:off x="4324350" y="278558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" name="Straight Connector 825">
            <a:extLst>
              <a:ext uri="{FF2B5EF4-FFF2-40B4-BE49-F238E27FC236}">
                <a16:creationId xmlns:a16="http://schemas.microsoft.com/office/drawing/2014/main" id="{21067D41-66B6-4B8B-A5E7-1DBDE3238BF4}"/>
              </a:ext>
            </a:extLst>
          </xdr:cNvPr>
          <xdr:cNvCxnSpPr/>
        </xdr:nvCxnSpPr>
        <xdr:spPr>
          <a:xfrm flipH="1">
            <a:off x="2705101" y="2785586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" name="Straight Connector 826">
            <a:extLst>
              <a:ext uri="{FF2B5EF4-FFF2-40B4-BE49-F238E27FC236}">
                <a16:creationId xmlns:a16="http://schemas.microsoft.com/office/drawing/2014/main" id="{01880607-340A-481B-947D-4C18ACC13457}"/>
              </a:ext>
            </a:extLst>
          </xdr:cNvPr>
          <xdr:cNvCxnSpPr/>
        </xdr:nvCxnSpPr>
        <xdr:spPr>
          <a:xfrm flipH="1">
            <a:off x="2705101" y="281463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" name="Straight Connector 827">
            <a:extLst>
              <a:ext uri="{FF2B5EF4-FFF2-40B4-BE49-F238E27FC236}">
                <a16:creationId xmlns:a16="http://schemas.microsoft.com/office/drawing/2014/main" id="{362BF0B7-00F0-457E-ADB3-4AD11D6B7F9A}"/>
              </a:ext>
            </a:extLst>
          </xdr:cNvPr>
          <xdr:cNvCxnSpPr/>
        </xdr:nvCxnSpPr>
        <xdr:spPr>
          <a:xfrm flipH="1">
            <a:off x="409575" y="2847022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" name="Straight Connector 828">
            <a:extLst>
              <a:ext uri="{FF2B5EF4-FFF2-40B4-BE49-F238E27FC236}">
                <a16:creationId xmlns:a16="http://schemas.microsoft.com/office/drawing/2014/main" id="{924DBACC-B91C-4173-89FD-C0EB0D833731}"/>
              </a:ext>
            </a:extLst>
          </xdr:cNvPr>
          <xdr:cNvCxnSpPr/>
        </xdr:nvCxnSpPr>
        <xdr:spPr>
          <a:xfrm>
            <a:off x="809626" y="28403550"/>
            <a:ext cx="0" cy="3571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0" name="Straight Connector 829">
            <a:extLst>
              <a:ext uri="{FF2B5EF4-FFF2-40B4-BE49-F238E27FC236}">
                <a16:creationId xmlns:a16="http://schemas.microsoft.com/office/drawing/2014/main" id="{AACF1901-D670-4FBD-B0C4-35397C564302}"/>
              </a:ext>
            </a:extLst>
          </xdr:cNvPr>
          <xdr:cNvCxnSpPr/>
        </xdr:nvCxnSpPr>
        <xdr:spPr>
          <a:xfrm flipH="1">
            <a:off x="766763" y="2843212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1" name="Straight Connector 830">
            <a:extLst>
              <a:ext uri="{FF2B5EF4-FFF2-40B4-BE49-F238E27FC236}">
                <a16:creationId xmlns:a16="http://schemas.microsoft.com/office/drawing/2014/main" id="{3BC736EB-FDE4-44E5-9BC4-FD64AD88549C}"/>
              </a:ext>
            </a:extLst>
          </xdr:cNvPr>
          <xdr:cNvCxnSpPr/>
        </xdr:nvCxnSpPr>
        <xdr:spPr>
          <a:xfrm flipH="1">
            <a:off x="723900" y="2890360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Straight Connector 831">
            <a:extLst>
              <a:ext uri="{FF2B5EF4-FFF2-40B4-BE49-F238E27FC236}">
                <a16:creationId xmlns:a16="http://schemas.microsoft.com/office/drawing/2014/main" id="{973407C6-5B24-405A-BE79-D1B15A535989}"/>
              </a:ext>
            </a:extLst>
          </xdr:cNvPr>
          <xdr:cNvCxnSpPr/>
        </xdr:nvCxnSpPr>
        <xdr:spPr>
          <a:xfrm flipH="1">
            <a:off x="762000" y="2886550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3" name="Straight Connector 832">
            <a:extLst>
              <a:ext uri="{FF2B5EF4-FFF2-40B4-BE49-F238E27FC236}">
                <a16:creationId xmlns:a16="http://schemas.microsoft.com/office/drawing/2014/main" id="{F1BC02CE-C3F0-49B9-9A3E-94D840C3DFC3}"/>
              </a:ext>
            </a:extLst>
          </xdr:cNvPr>
          <xdr:cNvCxnSpPr/>
        </xdr:nvCxnSpPr>
        <xdr:spPr>
          <a:xfrm flipH="1">
            <a:off x="723900" y="3023711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4" name="Straight Connector 833">
            <a:extLst>
              <a:ext uri="{FF2B5EF4-FFF2-40B4-BE49-F238E27FC236}">
                <a16:creationId xmlns:a16="http://schemas.microsoft.com/office/drawing/2014/main" id="{DD394D3B-2408-449E-B626-F40E652B6E35}"/>
              </a:ext>
            </a:extLst>
          </xdr:cNvPr>
          <xdr:cNvCxnSpPr/>
        </xdr:nvCxnSpPr>
        <xdr:spPr>
          <a:xfrm flipH="1">
            <a:off x="762000" y="3019901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Straight Connector 834">
            <a:extLst>
              <a:ext uri="{FF2B5EF4-FFF2-40B4-BE49-F238E27FC236}">
                <a16:creationId xmlns:a16="http://schemas.microsoft.com/office/drawing/2014/main" id="{15FCD238-5AC2-4357-9BFB-38A78289CDA2}"/>
              </a:ext>
            </a:extLst>
          </xdr:cNvPr>
          <xdr:cNvCxnSpPr/>
        </xdr:nvCxnSpPr>
        <xdr:spPr>
          <a:xfrm flipH="1">
            <a:off x="723900" y="3071812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6" name="Straight Connector 835">
            <a:extLst>
              <a:ext uri="{FF2B5EF4-FFF2-40B4-BE49-F238E27FC236}">
                <a16:creationId xmlns:a16="http://schemas.microsoft.com/office/drawing/2014/main" id="{3F47381F-4683-4D35-AB30-9C479333B595}"/>
              </a:ext>
            </a:extLst>
          </xdr:cNvPr>
          <xdr:cNvCxnSpPr/>
        </xdr:nvCxnSpPr>
        <xdr:spPr>
          <a:xfrm flipH="1">
            <a:off x="762000" y="3068002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7" name="Straight Connector 836">
            <a:extLst>
              <a:ext uri="{FF2B5EF4-FFF2-40B4-BE49-F238E27FC236}">
                <a16:creationId xmlns:a16="http://schemas.microsoft.com/office/drawing/2014/main" id="{665FE47D-6F49-430C-B041-6F758F4EC75A}"/>
              </a:ext>
            </a:extLst>
          </xdr:cNvPr>
          <xdr:cNvCxnSpPr/>
        </xdr:nvCxnSpPr>
        <xdr:spPr>
          <a:xfrm flipH="1">
            <a:off x="728663" y="3113722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8" name="Straight Connector 837">
            <a:extLst>
              <a:ext uri="{FF2B5EF4-FFF2-40B4-BE49-F238E27FC236}">
                <a16:creationId xmlns:a16="http://schemas.microsoft.com/office/drawing/2014/main" id="{AEE4548A-CD6E-46ED-A770-E58B48D0E5EA}"/>
              </a:ext>
            </a:extLst>
          </xdr:cNvPr>
          <xdr:cNvCxnSpPr/>
        </xdr:nvCxnSpPr>
        <xdr:spPr>
          <a:xfrm flipH="1">
            <a:off x="766763" y="3109912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9" name="Straight Connector 838">
            <a:extLst>
              <a:ext uri="{FF2B5EF4-FFF2-40B4-BE49-F238E27FC236}">
                <a16:creationId xmlns:a16="http://schemas.microsoft.com/office/drawing/2014/main" id="{927264EE-ECFA-40B7-ADF0-B2AB568FF9C3}"/>
              </a:ext>
            </a:extLst>
          </xdr:cNvPr>
          <xdr:cNvCxnSpPr/>
        </xdr:nvCxnSpPr>
        <xdr:spPr>
          <a:xfrm flipH="1">
            <a:off x="728663" y="3152299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0" name="Straight Connector 839">
            <a:extLst>
              <a:ext uri="{FF2B5EF4-FFF2-40B4-BE49-F238E27FC236}">
                <a16:creationId xmlns:a16="http://schemas.microsoft.com/office/drawing/2014/main" id="{BC6E490C-5108-4569-8152-9428808D606E}"/>
              </a:ext>
            </a:extLst>
          </xdr:cNvPr>
          <xdr:cNvCxnSpPr/>
        </xdr:nvCxnSpPr>
        <xdr:spPr>
          <a:xfrm flipH="1">
            <a:off x="766763" y="3148489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3" name="Straight Connector 842">
            <a:extLst>
              <a:ext uri="{FF2B5EF4-FFF2-40B4-BE49-F238E27FC236}">
                <a16:creationId xmlns:a16="http://schemas.microsoft.com/office/drawing/2014/main" id="{FF3C292B-2934-4126-AA30-83F90E8980CB}"/>
              </a:ext>
            </a:extLst>
          </xdr:cNvPr>
          <xdr:cNvCxnSpPr/>
        </xdr:nvCxnSpPr>
        <xdr:spPr>
          <a:xfrm flipH="1">
            <a:off x="395288" y="31899220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4" name="Straight Connector 843">
            <a:extLst>
              <a:ext uri="{FF2B5EF4-FFF2-40B4-BE49-F238E27FC236}">
                <a16:creationId xmlns:a16="http://schemas.microsoft.com/office/drawing/2014/main" id="{2B877F9B-4BB1-4545-90FD-297DEA3299B3}"/>
              </a:ext>
            </a:extLst>
          </xdr:cNvPr>
          <xdr:cNvCxnSpPr/>
        </xdr:nvCxnSpPr>
        <xdr:spPr>
          <a:xfrm flipH="1">
            <a:off x="766764" y="3186112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5" name="Straight Connector 844">
            <a:extLst>
              <a:ext uri="{FF2B5EF4-FFF2-40B4-BE49-F238E27FC236}">
                <a16:creationId xmlns:a16="http://schemas.microsoft.com/office/drawing/2014/main" id="{502E5A4D-95C1-4114-B6AC-F65B0237AE62}"/>
              </a:ext>
            </a:extLst>
          </xdr:cNvPr>
          <xdr:cNvCxnSpPr/>
        </xdr:nvCxnSpPr>
        <xdr:spPr>
          <a:xfrm>
            <a:off x="485776" y="28398788"/>
            <a:ext cx="0" cy="35671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6" name="Straight Connector 845">
            <a:extLst>
              <a:ext uri="{FF2B5EF4-FFF2-40B4-BE49-F238E27FC236}">
                <a16:creationId xmlns:a16="http://schemas.microsoft.com/office/drawing/2014/main" id="{E06E9988-A60D-4C44-BB98-3CB1F7AE45F8}"/>
              </a:ext>
            </a:extLst>
          </xdr:cNvPr>
          <xdr:cNvCxnSpPr/>
        </xdr:nvCxnSpPr>
        <xdr:spPr>
          <a:xfrm flipH="1">
            <a:off x="442913" y="2842736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Straight Connector 846">
            <a:extLst>
              <a:ext uri="{FF2B5EF4-FFF2-40B4-BE49-F238E27FC236}">
                <a16:creationId xmlns:a16="http://schemas.microsoft.com/office/drawing/2014/main" id="{C460D627-E8AA-46B9-97E6-13DCAC6C3324}"/>
              </a:ext>
            </a:extLst>
          </xdr:cNvPr>
          <xdr:cNvCxnSpPr/>
        </xdr:nvCxnSpPr>
        <xdr:spPr>
          <a:xfrm flipH="1">
            <a:off x="442914" y="3185635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8" name="Straight Connector 847">
            <a:extLst>
              <a:ext uri="{FF2B5EF4-FFF2-40B4-BE49-F238E27FC236}">
                <a16:creationId xmlns:a16="http://schemas.microsoft.com/office/drawing/2014/main" id="{AFBCA8AF-B2A8-4A51-A617-34BB48E4C2D8}"/>
              </a:ext>
            </a:extLst>
          </xdr:cNvPr>
          <xdr:cNvCxnSpPr/>
        </xdr:nvCxnSpPr>
        <xdr:spPr>
          <a:xfrm flipH="1">
            <a:off x="723900" y="29646561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9" name="Straight Connector 848">
            <a:extLst>
              <a:ext uri="{FF2B5EF4-FFF2-40B4-BE49-F238E27FC236}">
                <a16:creationId xmlns:a16="http://schemas.microsoft.com/office/drawing/2014/main" id="{75652F01-EED1-4CD0-957A-517C7AD770FE}"/>
              </a:ext>
            </a:extLst>
          </xdr:cNvPr>
          <xdr:cNvCxnSpPr/>
        </xdr:nvCxnSpPr>
        <xdr:spPr>
          <a:xfrm flipH="1">
            <a:off x="762000" y="296084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1" name="Straight Connector 850">
            <a:extLst>
              <a:ext uri="{FF2B5EF4-FFF2-40B4-BE49-F238E27FC236}">
                <a16:creationId xmlns:a16="http://schemas.microsoft.com/office/drawing/2014/main" id="{34E3F017-8686-4855-9A2C-9E1D45B79574}"/>
              </a:ext>
            </a:extLst>
          </xdr:cNvPr>
          <xdr:cNvCxnSpPr/>
        </xdr:nvCxnSpPr>
        <xdr:spPr>
          <a:xfrm>
            <a:off x="4695825" y="28394025"/>
            <a:ext cx="0" cy="35671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2" name="Straight Connector 851">
            <a:extLst>
              <a:ext uri="{FF2B5EF4-FFF2-40B4-BE49-F238E27FC236}">
                <a16:creationId xmlns:a16="http://schemas.microsoft.com/office/drawing/2014/main" id="{959DBAF3-540E-46F2-BC95-024909C926DA}"/>
              </a:ext>
            </a:extLst>
          </xdr:cNvPr>
          <xdr:cNvCxnSpPr/>
        </xdr:nvCxnSpPr>
        <xdr:spPr>
          <a:xfrm>
            <a:off x="4414838" y="31899218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3" name="Straight Connector 852">
            <a:extLst>
              <a:ext uri="{FF2B5EF4-FFF2-40B4-BE49-F238E27FC236}">
                <a16:creationId xmlns:a16="http://schemas.microsoft.com/office/drawing/2014/main" id="{88075128-2357-474C-9E8B-408813EAF0F1}"/>
              </a:ext>
            </a:extLst>
          </xdr:cNvPr>
          <xdr:cNvCxnSpPr/>
        </xdr:nvCxnSpPr>
        <xdr:spPr>
          <a:xfrm>
            <a:off x="4410075" y="2847022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4" name="Straight Connector 853">
            <a:extLst>
              <a:ext uri="{FF2B5EF4-FFF2-40B4-BE49-F238E27FC236}">
                <a16:creationId xmlns:a16="http://schemas.microsoft.com/office/drawing/2014/main" id="{92C51094-BBFC-4608-90BE-D3A0A965792B}"/>
              </a:ext>
            </a:extLst>
          </xdr:cNvPr>
          <xdr:cNvCxnSpPr/>
        </xdr:nvCxnSpPr>
        <xdr:spPr>
          <a:xfrm flipH="1">
            <a:off x="4648200" y="2843212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5" name="Straight Connector 854">
            <a:extLst>
              <a:ext uri="{FF2B5EF4-FFF2-40B4-BE49-F238E27FC236}">
                <a16:creationId xmlns:a16="http://schemas.microsoft.com/office/drawing/2014/main" id="{65FAA0DF-F4E4-4807-AB29-981D48A303A9}"/>
              </a:ext>
            </a:extLst>
          </xdr:cNvPr>
          <xdr:cNvCxnSpPr/>
        </xdr:nvCxnSpPr>
        <xdr:spPr>
          <a:xfrm flipH="1">
            <a:off x="4648201" y="31856355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Straight Connector 855">
            <a:extLst>
              <a:ext uri="{FF2B5EF4-FFF2-40B4-BE49-F238E27FC236}">
                <a16:creationId xmlns:a16="http://schemas.microsoft.com/office/drawing/2014/main" id="{4880D9F9-4328-4D73-9AE5-2E019823D7FD}"/>
              </a:ext>
            </a:extLst>
          </xdr:cNvPr>
          <xdr:cNvCxnSpPr/>
        </xdr:nvCxnSpPr>
        <xdr:spPr>
          <a:xfrm>
            <a:off x="3629025" y="30041850"/>
            <a:ext cx="1138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7" name="Straight Connector 856">
            <a:extLst>
              <a:ext uri="{FF2B5EF4-FFF2-40B4-BE49-F238E27FC236}">
                <a16:creationId xmlns:a16="http://schemas.microsoft.com/office/drawing/2014/main" id="{D4D1D920-2D5F-47B4-A2C0-EEAF38409FAB}"/>
              </a:ext>
            </a:extLst>
          </xdr:cNvPr>
          <xdr:cNvCxnSpPr/>
        </xdr:nvCxnSpPr>
        <xdr:spPr>
          <a:xfrm flipH="1">
            <a:off x="4652964" y="2999898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1" name="Straight Connector 860">
            <a:extLst>
              <a:ext uri="{FF2B5EF4-FFF2-40B4-BE49-F238E27FC236}">
                <a16:creationId xmlns:a16="http://schemas.microsoft.com/office/drawing/2014/main" id="{F4DF7885-332B-45CB-AF21-BF3F664A1274}"/>
              </a:ext>
            </a:extLst>
          </xdr:cNvPr>
          <xdr:cNvCxnSpPr/>
        </xdr:nvCxnSpPr>
        <xdr:spPr>
          <a:xfrm>
            <a:off x="3238500" y="29832300"/>
            <a:ext cx="0" cy="21288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6" name="Straight Connector 865">
            <a:extLst>
              <a:ext uri="{FF2B5EF4-FFF2-40B4-BE49-F238E27FC236}">
                <a16:creationId xmlns:a16="http://schemas.microsoft.com/office/drawing/2014/main" id="{243B1AFC-C524-4EED-A14F-8FD02293DBF6}"/>
              </a:ext>
            </a:extLst>
          </xdr:cNvPr>
          <xdr:cNvCxnSpPr/>
        </xdr:nvCxnSpPr>
        <xdr:spPr>
          <a:xfrm>
            <a:off x="1147763" y="30722888"/>
            <a:ext cx="1604962" cy="4202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3" name="Straight Connector 872">
            <a:extLst>
              <a:ext uri="{FF2B5EF4-FFF2-40B4-BE49-F238E27FC236}">
                <a16:creationId xmlns:a16="http://schemas.microsoft.com/office/drawing/2014/main" id="{267E9CB8-C020-4D6D-A120-26410CAB7B16}"/>
              </a:ext>
            </a:extLst>
          </xdr:cNvPr>
          <xdr:cNvCxnSpPr/>
        </xdr:nvCxnSpPr>
        <xdr:spPr>
          <a:xfrm flipH="1">
            <a:off x="3186112" y="2985135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9" name="Straight Connector 888">
            <a:extLst>
              <a:ext uri="{FF2B5EF4-FFF2-40B4-BE49-F238E27FC236}">
                <a16:creationId xmlns:a16="http://schemas.microsoft.com/office/drawing/2014/main" id="{14AD5AB0-DB68-495D-BC3D-D3A8DC99891F}"/>
              </a:ext>
            </a:extLst>
          </xdr:cNvPr>
          <xdr:cNvCxnSpPr/>
        </xdr:nvCxnSpPr>
        <xdr:spPr>
          <a:xfrm flipH="1">
            <a:off x="2581275" y="29608463"/>
            <a:ext cx="2428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0" name="Straight Connector 889">
            <a:extLst>
              <a:ext uri="{FF2B5EF4-FFF2-40B4-BE49-F238E27FC236}">
                <a16:creationId xmlns:a16="http://schemas.microsoft.com/office/drawing/2014/main" id="{E484B74F-17E9-413E-8DC2-338903917B1D}"/>
              </a:ext>
            </a:extLst>
          </xdr:cNvPr>
          <xdr:cNvCxnSpPr/>
        </xdr:nvCxnSpPr>
        <xdr:spPr>
          <a:xfrm>
            <a:off x="2647955" y="29513209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1" name="Straight Connector 890">
            <a:extLst>
              <a:ext uri="{FF2B5EF4-FFF2-40B4-BE49-F238E27FC236}">
                <a16:creationId xmlns:a16="http://schemas.microsoft.com/office/drawing/2014/main" id="{80CA0131-2A17-4994-A2C3-E271C8D6F105}"/>
              </a:ext>
            </a:extLst>
          </xdr:cNvPr>
          <xdr:cNvCxnSpPr/>
        </xdr:nvCxnSpPr>
        <xdr:spPr>
          <a:xfrm flipH="1">
            <a:off x="2595568" y="29565597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Straight Connector 891">
            <a:extLst>
              <a:ext uri="{FF2B5EF4-FFF2-40B4-BE49-F238E27FC236}">
                <a16:creationId xmlns:a16="http://schemas.microsoft.com/office/drawing/2014/main" id="{84AA1CAC-C53E-4603-A09B-5CE9B8AEA6BC}"/>
              </a:ext>
            </a:extLst>
          </xdr:cNvPr>
          <xdr:cNvCxnSpPr/>
        </xdr:nvCxnSpPr>
        <xdr:spPr>
          <a:xfrm flipH="1">
            <a:off x="2700338" y="29565600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3" name="Straight Connector 892">
            <a:extLst>
              <a:ext uri="{FF2B5EF4-FFF2-40B4-BE49-F238E27FC236}">
                <a16:creationId xmlns:a16="http://schemas.microsoft.com/office/drawing/2014/main" id="{01B36E96-0FE7-4D58-93FC-D03057FB33D1}"/>
              </a:ext>
            </a:extLst>
          </xdr:cNvPr>
          <xdr:cNvCxnSpPr/>
        </xdr:nvCxnSpPr>
        <xdr:spPr>
          <a:xfrm flipV="1">
            <a:off x="1857375" y="30041850"/>
            <a:ext cx="0" cy="1943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4" name="Straight Connector 893">
            <a:extLst>
              <a:ext uri="{FF2B5EF4-FFF2-40B4-BE49-F238E27FC236}">
                <a16:creationId xmlns:a16="http://schemas.microsoft.com/office/drawing/2014/main" id="{DE8BEC7C-9224-4194-B0D7-C5FC1B32ED58}"/>
              </a:ext>
            </a:extLst>
          </xdr:cNvPr>
          <xdr:cNvCxnSpPr/>
        </xdr:nvCxnSpPr>
        <xdr:spPr>
          <a:xfrm flipV="1">
            <a:off x="3648075" y="30032326"/>
            <a:ext cx="0" cy="1876424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5" name="Arc 894">
            <a:extLst>
              <a:ext uri="{FF2B5EF4-FFF2-40B4-BE49-F238E27FC236}">
                <a16:creationId xmlns:a16="http://schemas.microsoft.com/office/drawing/2014/main" id="{692E526E-BCBB-454C-A01A-F4BA8D2F5855}"/>
              </a:ext>
            </a:extLst>
          </xdr:cNvPr>
          <xdr:cNvSpPr/>
        </xdr:nvSpPr>
        <xdr:spPr>
          <a:xfrm rot="16200000">
            <a:off x="1857375" y="29165550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0FA3A70F-9D06-4F34-8CCF-2DB9FC4C171C}"/>
              </a:ext>
            </a:extLst>
          </xdr:cNvPr>
          <xdr:cNvCxnSpPr/>
        </xdr:nvCxnSpPr>
        <xdr:spPr>
          <a:xfrm>
            <a:off x="1057275" y="32470725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8037344F-D392-41EA-8455-B0F023A07AD3}"/>
              </a:ext>
            </a:extLst>
          </xdr:cNvPr>
          <xdr:cNvCxnSpPr/>
        </xdr:nvCxnSpPr>
        <xdr:spPr>
          <a:xfrm flipH="1">
            <a:off x="1814513" y="3242786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7" name="Straight Connector 896">
            <a:extLst>
              <a:ext uri="{FF2B5EF4-FFF2-40B4-BE49-F238E27FC236}">
                <a16:creationId xmlns:a16="http://schemas.microsoft.com/office/drawing/2014/main" id="{3C6B53F5-F874-4932-90E5-501D02EA38D6}"/>
              </a:ext>
            </a:extLst>
          </xdr:cNvPr>
          <xdr:cNvCxnSpPr/>
        </xdr:nvCxnSpPr>
        <xdr:spPr>
          <a:xfrm flipH="1">
            <a:off x="4329114" y="321468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8" name="Straight Connector 897">
            <a:extLst>
              <a:ext uri="{FF2B5EF4-FFF2-40B4-BE49-F238E27FC236}">
                <a16:creationId xmlns:a16="http://schemas.microsoft.com/office/drawing/2014/main" id="{41D9262A-48FE-4470-87D9-85E063C741C4}"/>
              </a:ext>
            </a:extLst>
          </xdr:cNvPr>
          <xdr:cNvCxnSpPr/>
        </xdr:nvCxnSpPr>
        <xdr:spPr>
          <a:xfrm>
            <a:off x="2181237" y="28113038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9" name="Straight Connector 898">
            <a:extLst>
              <a:ext uri="{FF2B5EF4-FFF2-40B4-BE49-F238E27FC236}">
                <a16:creationId xmlns:a16="http://schemas.microsoft.com/office/drawing/2014/main" id="{F4EF0BC7-98F4-4322-8FF5-EE7FCFCFCCB7}"/>
              </a:ext>
            </a:extLst>
          </xdr:cNvPr>
          <xdr:cNvCxnSpPr/>
        </xdr:nvCxnSpPr>
        <xdr:spPr>
          <a:xfrm flipH="1">
            <a:off x="2138376" y="281368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0" name="Straight Connector 899">
            <a:extLst>
              <a:ext uri="{FF2B5EF4-FFF2-40B4-BE49-F238E27FC236}">
                <a16:creationId xmlns:a16="http://schemas.microsoft.com/office/drawing/2014/main" id="{B166DDDE-5BEB-4685-8DCC-E0491BF1859D}"/>
              </a:ext>
            </a:extLst>
          </xdr:cNvPr>
          <xdr:cNvCxnSpPr/>
        </xdr:nvCxnSpPr>
        <xdr:spPr>
          <a:xfrm>
            <a:off x="3319474" y="2812256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1" name="Straight Connector 900">
            <a:extLst>
              <a:ext uri="{FF2B5EF4-FFF2-40B4-BE49-F238E27FC236}">
                <a16:creationId xmlns:a16="http://schemas.microsoft.com/office/drawing/2014/main" id="{6255D75B-225C-44C3-B474-22EA8DE20551}"/>
              </a:ext>
            </a:extLst>
          </xdr:cNvPr>
          <xdr:cNvCxnSpPr/>
        </xdr:nvCxnSpPr>
        <xdr:spPr>
          <a:xfrm flipH="1">
            <a:off x="3271850" y="2814637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2" name="Straight Connector 901">
            <a:extLst>
              <a:ext uri="{FF2B5EF4-FFF2-40B4-BE49-F238E27FC236}">
                <a16:creationId xmlns:a16="http://schemas.microsoft.com/office/drawing/2014/main" id="{CEE57C54-03A3-45CB-B2C2-D471E9892404}"/>
              </a:ext>
            </a:extLst>
          </xdr:cNvPr>
          <xdr:cNvCxnSpPr/>
        </xdr:nvCxnSpPr>
        <xdr:spPr>
          <a:xfrm>
            <a:off x="1066799" y="33042224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3" name="Straight Connector 902">
            <a:extLst>
              <a:ext uri="{FF2B5EF4-FFF2-40B4-BE49-F238E27FC236}">
                <a16:creationId xmlns:a16="http://schemas.microsoft.com/office/drawing/2014/main" id="{95402142-1D1B-4C60-A503-726B90746018}"/>
              </a:ext>
            </a:extLst>
          </xdr:cNvPr>
          <xdr:cNvCxnSpPr/>
        </xdr:nvCxnSpPr>
        <xdr:spPr>
          <a:xfrm flipH="1">
            <a:off x="1090613" y="3300412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4" name="Straight Connector 903">
            <a:extLst>
              <a:ext uri="{FF2B5EF4-FFF2-40B4-BE49-F238E27FC236}">
                <a16:creationId xmlns:a16="http://schemas.microsoft.com/office/drawing/2014/main" id="{163D6680-2864-404C-A4FC-2453B1FBF7E5}"/>
              </a:ext>
            </a:extLst>
          </xdr:cNvPr>
          <xdr:cNvCxnSpPr/>
        </xdr:nvCxnSpPr>
        <xdr:spPr>
          <a:xfrm flipH="1">
            <a:off x="4329113" y="3300412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6" name="Straight Connector 905">
            <a:extLst>
              <a:ext uri="{FF2B5EF4-FFF2-40B4-BE49-F238E27FC236}">
                <a16:creationId xmlns:a16="http://schemas.microsoft.com/office/drawing/2014/main" id="{77A81628-CBA6-4342-85B8-96C40579B012}"/>
              </a:ext>
            </a:extLst>
          </xdr:cNvPr>
          <xdr:cNvCxnSpPr/>
        </xdr:nvCxnSpPr>
        <xdr:spPr>
          <a:xfrm flipH="1">
            <a:off x="1090612" y="3243261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7" name="Straight Connector 906">
            <a:extLst>
              <a:ext uri="{FF2B5EF4-FFF2-40B4-BE49-F238E27FC236}">
                <a16:creationId xmlns:a16="http://schemas.microsoft.com/office/drawing/2014/main" id="{67ABFA3E-8119-4360-8DBE-A8FEF58D09B4}"/>
              </a:ext>
            </a:extLst>
          </xdr:cNvPr>
          <xdr:cNvCxnSpPr/>
        </xdr:nvCxnSpPr>
        <xdr:spPr>
          <a:xfrm flipH="1">
            <a:off x="4329112" y="3243261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8" name="Straight Connector 907">
            <a:extLst>
              <a:ext uri="{FF2B5EF4-FFF2-40B4-BE49-F238E27FC236}">
                <a16:creationId xmlns:a16="http://schemas.microsoft.com/office/drawing/2014/main" id="{F164B1EE-8949-4404-9058-BB4DEDDD46F2}"/>
              </a:ext>
            </a:extLst>
          </xdr:cNvPr>
          <xdr:cNvCxnSpPr/>
        </xdr:nvCxnSpPr>
        <xdr:spPr>
          <a:xfrm flipH="1">
            <a:off x="2709862" y="3243262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2" name="Straight Connector 401">
            <a:extLst>
              <a:ext uri="{FF2B5EF4-FFF2-40B4-BE49-F238E27FC236}">
                <a16:creationId xmlns:a16="http://schemas.microsoft.com/office/drawing/2014/main" id="{9C4D083D-8DD7-4021-970D-A18C7A1A7CE4}"/>
              </a:ext>
            </a:extLst>
          </xdr:cNvPr>
          <xdr:cNvCxnSpPr/>
        </xdr:nvCxnSpPr>
        <xdr:spPr>
          <a:xfrm>
            <a:off x="2762250" y="302418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Straight Connector 417">
            <a:extLst>
              <a:ext uri="{FF2B5EF4-FFF2-40B4-BE49-F238E27FC236}">
                <a16:creationId xmlns:a16="http://schemas.microsoft.com/office/drawing/2014/main" id="{BF942CCE-47AC-45A9-8C0C-23E9C2B638D6}"/>
              </a:ext>
            </a:extLst>
          </xdr:cNvPr>
          <xdr:cNvCxnSpPr/>
        </xdr:nvCxnSpPr>
        <xdr:spPr>
          <a:xfrm>
            <a:off x="2938462" y="29898975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0" name="Oval 429">
            <a:extLst>
              <a:ext uri="{FF2B5EF4-FFF2-40B4-BE49-F238E27FC236}">
                <a16:creationId xmlns:a16="http://schemas.microsoft.com/office/drawing/2014/main" id="{DFFED90B-6558-4404-8BDF-00F9717C7346}"/>
              </a:ext>
            </a:extLst>
          </xdr:cNvPr>
          <xdr:cNvSpPr/>
        </xdr:nvSpPr>
        <xdr:spPr>
          <a:xfrm>
            <a:off x="2729866" y="3001422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33" name="Straight Connector 432">
            <a:extLst>
              <a:ext uri="{FF2B5EF4-FFF2-40B4-BE49-F238E27FC236}">
                <a16:creationId xmlns:a16="http://schemas.microsoft.com/office/drawing/2014/main" id="{1756DCDC-EBC2-4015-B59C-839D1EA1600B}"/>
              </a:ext>
            </a:extLst>
          </xdr:cNvPr>
          <xdr:cNvCxnSpPr/>
        </xdr:nvCxnSpPr>
        <xdr:spPr>
          <a:xfrm>
            <a:off x="2195513" y="30041850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Straight Connector 435">
            <a:extLst>
              <a:ext uri="{FF2B5EF4-FFF2-40B4-BE49-F238E27FC236}">
                <a16:creationId xmlns:a16="http://schemas.microsoft.com/office/drawing/2014/main" id="{C3573DBD-116B-470C-902B-F60D99531779}"/>
              </a:ext>
            </a:extLst>
          </xdr:cNvPr>
          <xdr:cNvCxnSpPr/>
        </xdr:nvCxnSpPr>
        <xdr:spPr>
          <a:xfrm flipV="1">
            <a:off x="2266950" y="29841825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Straight Connector 438">
            <a:extLst>
              <a:ext uri="{FF2B5EF4-FFF2-40B4-BE49-F238E27FC236}">
                <a16:creationId xmlns:a16="http://schemas.microsoft.com/office/drawing/2014/main" id="{9E11A949-19CD-45F2-A1DB-30698A98C3B0}"/>
              </a:ext>
            </a:extLst>
          </xdr:cNvPr>
          <xdr:cNvCxnSpPr/>
        </xdr:nvCxnSpPr>
        <xdr:spPr>
          <a:xfrm flipH="1">
            <a:off x="2190750" y="2989897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Connector 451">
            <a:extLst>
              <a:ext uri="{FF2B5EF4-FFF2-40B4-BE49-F238E27FC236}">
                <a16:creationId xmlns:a16="http://schemas.microsoft.com/office/drawing/2014/main" id="{15E3B13B-CC65-4867-B085-A08E4FEBE0D1}"/>
              </a:ext>
            </a:extLst>
          </xdr:cNvPr>
          <xdr:cNvCxnSpPr/>
        </xdr:nvCxnSpPr>
        <xdr:spPr>
          <a:xfrm flipH="1">
            <a:off x="2224088" y="29865638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9" name="Straight Connector 908">
            <a:extLst>
              <a:ext uri="{FF2B5EF4-FFF2-40B4-BE49-F238E27FC236}">
                <a16:creationId xmlns:a16="http://schemas.microsoft.com/office/drawing/2014/main" id="{01683CAD-8832-42C2-B386-B2263826DF8A}"/>
              </a:ext>
            </a:extLst>
          </xdr:cNvPr>
          <xdr:cNvCxnSpPr/>
        </xdr:nvCxnSpPr>
        <xdr:spPr>
          <a:xfrm flipH="1">
            <a:off x="2228850" y="30003750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Connector 456">
            <a:extLst>
              <a:ext uri="{FF2B5EF4-FFF2-40B4-BE49-F238E27FC236}">
                <a16:creationId xmlns:a16="http://schemas.microsoft.com/office/drawing/2014/main" id="{9AE5216C-F816-46DB-90CA-0605E5062AB9}"/>
              </a:ext>
            </a:extLst>
          </xdr:cNvPr>
          <xdr:cNvCxnSpPr/>
        </xdr:nvCxnSpPr>
        <xdr:spPr>
          <a:xfrm flipH="1">
            <a:off x="3190874" y="301990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0" name="Straight Connector 909">
            <a:extLst>
              <a:ext uri="{FF2B5EF4-FFF2-40B4-BE49-F238E27FC236}">
                <a16:creationId xmlns:a16="http://schemas.microsoft.com/office/drawing/2014/main" id="{C56E35D1-77D0-48E5-9D17-EF61F7245564}"/>
              </a:ext>
            </a:extLst>
          </xdr:cNvPr>
          <xdr:cNvCxnSpPr/>
        </xdr:nvCxnSpPr>
        <xdr:spPr>
          <a:xfrm>
            <a:off x="2767012" y="304609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1" name="Straight Connector 910">
            <a:extLst>
              <a:ext uri="{FF2B5EF4-FFF2-40B4-BE49-F238E27FC236}">
                <a16:creationId xmlns:a16="http://schemas.microsoft.com/office/drawing/2014/main" id="{29EA3BDB-6972-475A-9B4F-C3CC01601B47}"/>
              </a:ext>
            </a:extLst>
          </xdr:cNvPr>
          <xdr:cNvCxnSpPr/>
        </xdr:nvCxnSpPr>
        <xdr:spPr>
          <a:xfrm flipH="1">
            <a:off x="3195636" y="304180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2" name="Straight Connector 911">
            <a:extLst>
              <a:ext uri="{FF2B5EF4-FFF2-40B4-BE49-F238E27FC236}">
                <a16:creationId xmlns:a16="http://schemas.microsoft.com/office/drawing/2014/main" id="{3CD85797-CD2F-48FF-95FF-24FED21D5D44}"/>
              </a:ext>
            </a:extLst>
          </xdr:cNvPr>
          <xdr:cNvCxnSpPr/>
        </xdr:nvCxnSpPr>
        <xdr:spPr>
          <a:xfrm>
            <a:off x="2762249" y="3077051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Straight Connector 912">
            <a:extLst>
              <a:ext uri="{FF2B5EF4-FFF2-40B4-BE49-F238E27FC236}">
                <a16:creationId xmlns:a16="http://schemas.microsoft.com/office/drawing/2014/main" id="{8D784F67-4D7D-4713-BD37-6E8B208987A4}"/>
              </a:ext>
            </a:extLst>
          </xdr:cNvPr>
          <xdr:cNvCxnSpPr/>
        </xdr:nvCxnSpPr>
        <xdr:spPr>
          <a:xfrm flipH="1">
            <a:off x="3190873" y="307276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4" name="Straight Connector 913">
            <a:extLst>
              <a:ext uri="{FF2B5EF4-FFF2-40B4-BE49-F238E27FC236}">
                <a16:creationId xmlns:a16="http://schemas.microsoft.com/office/drawing/2014/main" id="{FE6D6F46-8801-4D2E-ACF1-D38DF34E3452}"/>
              </a:ext>
            </a:extLst>
          </xdr:cNvPr>
          <xdr:cNvCxnSpPr/>
        </xdr:nvCxnSpPr>
        <xdr:spPr>
          <a:xfrm>
            <a:off x="2762248" y="3115151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5" name="Straight Connector 914">
            <a:extLst>
              <a:ext uri="{FF2B5EF4-FFF2-40B4-BE49-F238E27FC236}">
                <a16:creationId xmlns:a16="http://schemas.microsoft.com/office/drawing/2014/main" id="{211FDE40-03B7-48C1-BAE8-E4308FC16BC5}"/>
              </a:ext>
            </a:extLst>
          </xdr:cNvPr>
          <xdr:cNvCxnSpPr/>
        </xdr:nvCxnSpPr>
        <xdr:spPr>
          <a:xfrm flipH="1">
            <a:off x="3190872" y="311086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Straight Connector 915">
            <a:extLst>
              <a:ext uri="{FF2B5EF4-FFF2-40B4-BE49-F238E27FC236}">
                <a16:creationId xmlns:a16="http://schemas.microsoft.com/office/drawing/2014/main" id="{CD29F9F2-EF55-4256-B97D-88391F12544E}"/>
              </a:ext>
            </a:extLst>
          </xdr:cNvPr>
          <xdr:cNvCxnSpPr/>
        </xdr:nvCxnSpPr>
        <xdr:spPr>
          <a:xfrm>
            <a:off x="2767010" y="3136582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7" name="Straight Connector 916">
            <a:extLst>
              <a:ext uri="{FF2B5EF4-FFF2-40B4-BE49-F238E27FC236}">
                <a16:creationId xmlns:a16="http://schemas.microsoft.com/office/drawing/2014/main" id="{CE0731D6-F484-48BE-8EAC-357D6D84A800}"/>
              </a:ext>
            </a:extLst>
          </xdr:cNvPr>
          <xdr:cNvCxnSpPr/>
        </xdr:nvCxnSpPr>
        <xdr:spPr>
          <a:xfrm flipH="1">
            <a:off x="3195634" y="3132296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8" name="Straight Connector 917">
            <a:extLst>
              <a:ext uri="{FF2B5EF4-FFF2-40B4-BE49-F238E27FC236}">
                <a16:creationId xmlns:a16="http://schemas.microsoft.com/office/drawing/2014/main" id="{88EB24A8-1A94-4765-B91E-3A9A28956C00}"/>
              </a:ext>
            </a:extLst>
          </xdr:cNvPr>
          <xdr:cNvCxnSpPr/>
        </xdr:nvCxnSpPr>
        <xdr:spPr>
          <a:xfrm>
            <a:off x="2757485" y="3161823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9" name="Straight Connector 918">
            <a:extLst>
              <a:ext uri="{FF2B5EF4-FFF2-40B4-BE49-F238E27FC236}">
                <a16:creationId xmlns:a16="http://schemas.microsoft.com/office/drawing/2014/main" id="{EAD19FD4-956F-4EB7-9E39-7EFCC9972FCF}"/>
              </a:ext>
            </a:extLst>
          </xdr:cNvPr>
          <xdr:cNvCxnSpPr/>
        </xdr:nvCxnSpPr>
        <xdr:spPr>
          <a:xfrm flipH="1">
            <a:off x="3186109" y="315753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0" name="Straight Connector 919">
            <a:extLst>
              <a:ext uri="{FF2B5EF4-FFF2-40B4-BE49-F238E27FC236}">
                <a16:creationId xmlns:a16="http://schemas.microsoft.com/office/drawing/2014/main" id="{332C36AC-FB0C-4A13-B8E0-DC83B5A6EBF7}"/>
              </a:ext>
            </a:extLst>
          </xdr:cNvPr>
          <xdr:cNvCxnSpPr/>
        </xdr:nvCxnSpPr>
        <xdr:spPr>
          <a:xfrm>
            <a:off x="2762248" y="309038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1" name="Straight Connector 920">
            <a:extLst>
              <a:ext uri="{FF2B5EF4-FFF2-40B4-BE49-F238E27FC236}">
                <a16:creationId xmlns:a16="http://schemas.microsoft.com/office/drawing/2014/main" id="{696BA56A-4550-43D2-947C-2984BB120766}"/>
              </a:ext>
            </a:extLst>
          </xdr:cNvPr>
          <xdr:cNvCxnSpPr/>
        </xdr:nvCxnSpPr>
        <xdr:spPr>
          <a:xfrm flipH="1">
            <a:off x="3190872" y="308610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2" name="Straight Connector 921">
            <a:extLst>
              <a:ext uri="{FF2B5EF4-FFF2-40B4-BE49-F238E27FC236}">
                <a16:creationId xmlns:a16="http://schemas.microsoft.com/office/drawing/2014/main" id="{1A03472D-ACD9-4DF8-BB2E-724EB7A57D62}"/>
              </a:ext>
            </a:extLst>
          </xdr:cNvPr>
          <xdr:cNvCxnSpPr/>
        </xdr:nvCxnSpPr>
        <xdr:spPr>
          <a:xfrm>
            <a:off x="2762248" y="306133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3" name="Straight Connector 922">
            <a:extLst>
              <a:ext uri="{FF2B5EF4-FFF2-40B4-BE49-F238E27FC236}">
                <a16:creationId xmlns:a16="http://schemas.microsoft.com/office/drawing/2014/main" id="{DEFB4741-5344-478B-905D-E2F0E0EC5BD9}"/>
              </a:ext>
            </a:extLst>
          </xdr:cNvPr>
          <xdr:cNvCxnSpPr/>
        </xdr:nvCxnSpPr>
        <xdr:spPr>
          <a:xfrm flipH="1">
            <a:off x="3190872" y="305704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24" name="Oval 923">
            <a:extLst>
              <a:ext uri="{FF2B5EF4-FFF2-40B4-BE49-F238E27FC236}">
                <a16:creationId xmlns:a16="http://schemas.microsoft.com/office/drawing/2014/main" id="{DDC61928-797F-4FBA-93BD-B8FC3B8A99F9}"/>
              </a:ext>
            </a:extLst>
          </xdr:cNvPr>
          <xdr:cNvSpPr/>
        </xdr:nvSpPr>
        <xdr:spPr>
          <a:xfrm>
            <a:off x="1833563" y="30013275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25" name="Oval 924">
            <a:extLst>
              <a:ext uri="{FF2B5EF4-FFF2-40B4-BE49-F238E27FC236}">
                <a16:creationId xmlns:a16="http://schemas.microsoft.com/office/drawing/2014/main" id="{717E502F-00F6-4CA8-9A29-83C1FA49CA36}"/>
              </a:ext>
            </a:extLst>
          </xdr:cNvPr>
          <xdr:cNvSpPr/>
        </xdr:nvSpPr>
        <xdr:spPr>
          <a:xfrm>
            <a:off x="3624263" y="3001803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72" name="Straight Connector 471">
            <a:extLst>
              <a:ext uri="{FF2B5EF4-FFF2-40B4-BE49-F238E27FC236}">
                <a16:creationId xmlns:a16="http://schemas.microsoft.com/office/drawing/2014/main" id="{E3CD78B8-1ECE-4AEE-873D-0777CB037AC9}"/>
              </a:ext>
            </a:extLst>
          </xdr:cNvPr>
          <xdr:cNvCxnSpPr/>
        </xdr:nvCxnSpPr>
        <xdr:spPr>
          <a:xfrm>
            <a:off x="4781550" y="29898975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Connector 473">
            <a:extLst>
              <a:ext uri="{FF2B5EF4-FFF2-40B4-BE49-F238E27FC236}">
                <a16:creationId xmlns:a16="http://schemas.microsoft.com/office/drawing/2014/main" id="{47E156EA-4D75-4B36-9130-B4B5BB824DE1}"/>
              </a:ext>
            </a:extLst>
          </xdr:cNvPr>
          <xdr:cNvCxnSpPr/>
        </xdr:nvCxnSpPr>
        <xdr:spPr>
          <a:xfrm>
            <a:off x="5019675" y="28394025"/>
            <a:ext cx="0" cy="35766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8" name="Straight Connector 927">
            <a:extLst>
              <a:ext uri="{FF2B5EF4-FFF2-40B4-BE49-F238E27FC236}">
                <a16:creationId xmlns:a16="http://schemas.microsoft.com/office/drawing/2014/main" id="{FFC2E227-0544-4B0C-8662-29D199D66A4A}"/>
              </a:ext>
            </a:extLst>
          </xdr:cNvPr>
          <xdr:cNvCxnSpPr/>
        </xdr:nvCxnSpPr>
        <xdr:spPr>
          <a:xfrm flipH="1">
            <a:off x="4981576" y="31851593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9" name="Straight Connector 928">
            <a:extLst>
              <a:ext uri="{FF2B5EF4-FFF2-40B4-BE49-F238E27FC236}">
                <a16:creationId xmlns:a16="http://schemas.microsoft.com/office/drawing/2014/main" id="{A692F18C-3826-4B03-A6BD-D5F5E040F41A}"/>
              </a:ext>
            </a:extLst>
          </xdr:cNvPr>
          <xdr:cNvCxnSpPr/>
        </xdr:nvCxnSpPr>
        <xdr:spPr>
          <a:xfrm flipH="1">
            <a:off x="4976814" y="298561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0" name="Straight Connector 929">
            <a:extLst>
              <a:ext uri="{FF2B5EF4-FFF2-40B4-BE49-F238E27FC236}">
                <a16:creationId xmlns:a16="http://schemas.microsoft.com/office/drawing/2014/main" id="{6455E21B-F69C-4871-BE2F-1913B2C09645}"/>
              </a:ext>
            </a:extLst>
          </xdr:cNvPr>
          <xdr:cNvCxnSpPr/>
        </xdr:nvCxnSpPr>
        <xdr:spPr>
          <a:xfrm>
            <a:off x="3509962" y="29898975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Straight Connector 1053">
            <a:extLst>
              <a:ext uri="{FF2B5EF4-FFF2-40B4-BE49-F238E27FC236}">
                <a16:creationId xmlns:a16="http://schemas.microsoft.com/office/drawing/2014/main" id="{452B9160-5656-43E8-8A51-3E20E19FB586}"/>
              </a:ext>
            </a:extLst>
          </xdr:cNvPr>
          <xdr:cNvCxnSpPr/>
        </xdr:nvCxnSpPr>
        <xdr:spPr>
          <a:xfrm>
            <a:off x="4410075" y="29898975"/>
            <a:ext cx="2571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47E829E4-6468-41F3-96DD-14327787C495}"/>
              </a:ext>
            </a:extLst>
          </xdr:cNvPr>
          <xdr:cNvCxnSpPr/>
        </xdr:nvCxnSpPr>
        <xdr:spPr>
          <a:xfrm flipH="1">
            <a:off x="4976813" y="28422600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85725</xdr:colOff>
      <xdr:row>446</xdr:row>
      <xdr:rowOff>66675</xdr:rowOff>
    </xdr:from>
    <xdr:to>
      <xdr:col>46</xdr:col>
      <xdr:colOff>8164</xdr:colOff>
      <xdr:row>452</xdr:row>
      <xdr:rowOff>1360</xdr:rowOff>
    </xdr:to>
    <xdr:grpSp>
      <xdr:nvGrpSpPr>
        <xdr:cNvPr id="327" name="Group 326">
          <a:extLst>
            <a:ext uri="{FF2B5EF4-FFF2-40B4-BE49-F238E27FC236}">
              <a16:creationId xmlns:a16="http://schemas.microsoft.com/office/drawing/2014/main" id="{DBF13193-8291-4B87-91D7-C4A00A96DFB1}"/>
            </a:ext>
          </a:extLst>
        </xdr:cNvPr>
        <xdr:cNvGrpSpPr/>
      </xdr:nvGrpSpPr>
      <xdr:grpSpPr>
        <a:xfrm>
          <a:off x="5753100" y="68732400"/>
          <a:ext cx="1703614" cy="791935"/>
          <a:chOff x="6076950" y="10163175"/>
          <a:chExt cx="1703614" cy="791935"/>
        </a:xfrm>
      </xdr:grpSpPr>
      <xdr:sp macro="" textlink="">
        <xdr:nvSpPr>
          <xdr:cNvPr id="328" name="Freeform: Shape 327">
            <a:extLst>
              <a:ext uri="{FF2B5EF4-FFF2-40B4-BE49-F238E27FC236}">
                <a16:creationId xmlns:a16="http://schemas.microsoft.com/office/drawing/2014/main" id="{2321C0B9-1D0D-4217-9E22-F05187FE26B5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29" name="Freeform: Shape 328">
            <a:extLst>
              <a:ext uri="{FF2B5EF4-FFF2-40B4-BE49-F238E27FC236}">
                <a16:creationId xmlns:a16="http://schemas.microsoft.com/office/drawing/2014/main" id="{A32A0369-5D20-4D36-8FFB-B532A367706B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30" name="Freeform: Shape 329">
            <a:extLst>
              <a:ext uri="{FF2B5EF4-FFF2-40B4-BE49-F238E27FC236}">
                <a16:creationId xmlns:a16="http://schemas.microsoft.com/office/drawing/2014/main" id="{A23E4697-7F03-4AD3-91E6-3E5179049685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31" name="Straight Connector 330">
            <a:extLst>
              <a:ext uri="{FF2B5EF4-FFF2-40B4-BE49-F238E27FC236}">
                <a16:creationId xmlns:a16="http://schemas.microsoft.com/office/drawing/2014/main" id="{328C8CDA-4553-406F-B512-15C0D596A7C8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2" name="Straight Connector 331">
            <a:extLst>
              <a:ext uri="{FF2B5EF4-FFF2-40B4-BE49-F238E27FC236}">
                <a16:creationId xmlns:a16="http://schemas.microsoft.com/office/drawing/2014/main" id="{FB88F6B6-3960-4BC4-83A5-497DC6489F1A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id="{3C053D34-1B97-43AC-A044-39D7B8BBB4DF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55642FEB-F80B-4096-BC00-DB4CAE11568E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784F578D-1530-46D4-ABA4-647F38F04C29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Connector 335">
            <a:extLst>
              <a:ext uri="{FF2B5EF4-FFF2-40B4-BE49-F238E27FC236}">
                <a16:creationId xmlns:a16="http://schemas.microsoft.com/office/drawing/2014/main" id="{7C31AE22-1CFF-4568-88AC-ECB51ACDEDA9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62DC3B68-F7E5-40E9-8C1B-D9E79AD4A0B2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0F56E2CC-0836-4C71-8D4A-C5EA655A969C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Connector 338">
            <a:extLst>
              <a:ext uri="{FF2B5EF4-FFF2-40B4-BE49-F238E27FC236}">
                <a16:creationId xmlns:a16="http://schemas.microsoft.com/office/drawing/2014/main" id="{FF858331-F7CB-41B6-80A2-384E2F65215D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Connector 339">
            <a:extLst>
              <a:ext uri="{FF2B5EF4-FFF2-40B4-BE49-F238E27FC236}">
                <a16:creationId xmlns:a16="http://schemas.microsoft.com/office/drawing/2014/main" id="{C9F7A311-767B-4C60-960D-C4A7A43A744C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1" name="Freeform: Shape 340">
            <a:extLst>
              <a:ext uri="{FF2B5EF4-FFF2-40B4-BE49-F238E27FC236}">
                <a16:creationId xmlns:a16="http://schemas.microsoft.com/office/drawing/2014/main" id="{FD0FCE9F-0862-4883-8F31-5ADE5DEBC349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30</xdr:col>
      <xdr:colOff>43585</xdr:colOff>
      <xdr:row>420</xdr:row>
      <xdr:rowOff>66675</xdr:rowOff>
    </xdr:from>
    <xdr:to>
      <xdr:col>54</xdr:col>
      <xdr:colOff>108815</xdr:colOff>
      <xdr:row>445</xdr:row>
      <xdr:rowOff>19050</xdr:rowOff>
    </xdr:to>
    <xdr:pic>
      <xdr:nvPicPr>
        <xdr:cNvPr id="343" name="Picture 342">
          <a:extLst>
            <a:ext uri="{FF2B5EF4-FFF2-40B4-BE49-F238E27FC236}">
              <a16:creationId xmlns:a16="http://schemas.microsoft.com/office/drawing/2014/main" id="{3FEDB7F0-D437-4FD3-9CCF-0EC334AAB2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18" t="33137" r="43742" b="27982"/>
        <a:stretch/>
      </xdr:blipFill>
      <xdr:spPr bwMode="auto">
        <a:xfrm>
          <a:off x="4901335" y="34747200"/>
          <a:ext cx="395143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47624</xdr:colOff>
      <xdr:row>383</xdr:row>
      <xdr:rowOff>114300</xdr:rowOff>
    </xdr:from>
    <xdr:to>
      <xdr:col>54</xdr:col>
      <xdr:colOff>104775</xdr:colOff>
      <xdr:row>398</xdr:row>
      <xdr:rowOff>47625</xdr:rowOff>
    </xdr:to>
    <xdr:pic>
      <xdr:nvPicPr>
        <xdr:cNvPr id="525" name="Picture 524">
          <a:extLst>
            <a:ext uri="{FF2B5EF4-FFF2-40B4-BE49-F238E27FC236}">
              <a16:creationId xmlns:a16="http://schemas.microsoft.com/office/drawing/2014/main" id="{DAB03756-873C-4091-96F1-E7F03759FD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7" t="38734" r="51239" b="29160"/>
        <a:stretch/>
      </xdr:blipFill>
      <xdr:spPr bwMode="auto">
        <a:xfrm>
          <a:off x="5229224" y="2171700"/>
          <a:ext cx="3619501" cy="207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123825</xdr:colOff>
      <xdr:row>462</xdr:row>
      <xdr:rowOff>9525</xdr:rowOff>
    </xdr:from>
    <xdr:to>
      <xdr:col>57</xdr:col>
      <xdr:colOff>142875</xdr:colOff>
      <xdr:row>463</xdr:row>
      <xdr:rowOff>66675</xdr:rowOff>
    </xdr:to>
    <xdr:cxnSp macro="">
      <xdr:nvCxnSpPr>
        <xdr:cNvPr id="526" name="Straight Arrow Connector 525">
          <a:extLst>
            <a:ext uri="{FF2B5EF4-FFF2-40B4-BE49-F238E27FC236}">
              <a16:creationId xmlns:a16="http://schemas.microsoft.com/office/drawing/2014/main" id="{A72D55AF-7436-4B2C-B7EE-98C072830EC4}"/>
            </a:ext>
          </a:extLst>
        </xdr:cNvPr>
        <xdr:cNvCxnSpPr/>
      </xdr:nvCxnSpPr>
      <xdr:spPr>
        <a:xfrm flipH="1" flipV="1">
          <a:off x="9029700" y="41186100"/>
          <a:ext cx="342900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85725</xdr:colOff>
      <xdr:row>482</xdr:row>
      <xdr:rowOff>66675</xdr:rowOff>
    </xdr:from>
    <xdr:to>
      <xdr:col>46</xdr:col>
      <xdr:colOff>8164</xdr:colOff>
      <xdr:row>488</xdr:row>
      <xdr:rowOff>1360</xdr:rowOff>
    </xdr:to>
    <xdr:grpSp>
      <xdr:nvGrpSpPr>
        <xdr:cNvPr id="527" name="Group 526">
          <a:extLst>
            <a:ext uri="{FF2B5EF4-FFF2-40B4-BE49-F238E27FC236}">
              <a16:creationId xmlns:a16="http://schemas.microsoft.com/office/drawing/2014/main" id="{17817B93-3AD2-404C-849B-7DD84CDA9353}"/>
            </a:ext>
          </a:extLst>
        </xdr:cNvPr>
        <xdr:cNvGrpSpPr/>
      </xdr:nvGrpSpPr>
      <xdr:grpSpPr>
        <a:xfrm>
          <a:off x="5753100" y="74371200"/>
          <a:ext cx="1703614" cy="791935"/>
          <a:chOff x="6076950" y="10163175"/>
          <a:chExt cx="1703614" cy="791935"/>
        </a:xfrm>
      </xdr:grpSpPr>
      <xdr:sp macro="" textlink="">
        <xdr:nvSpPr>
          <xdr:cNvPr id="528" name="Freeform: Shape 527">
            <a:extLst>
              <a:ext uri="{FF2B5EF4-FFF2-40B4-BE49-F238E27FC236}">
                <a16:creationId xmlns:a16="http://schemas.microsoft.com/office/drawing/2014/main" id="{3BEF28D1-BBB4-4B3A-8770-9DA350644BF3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29" name="Freeform: Shape 528">
            <a:extLst>
              <a:ext uri="{FF2B5EF4-FFF2-40B4-BE49-F238E27FC236}">
                <a16:creationId xmlns:a16="http://schemas.microsoft.com/office/drawing/2014/main" id="{C7C0F3CD-7B79-4B4A-B4F7-79811FBBD89E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30" name="Freeform: Shape 529">
            <a:extLst>
              <a:ext uri="{FF2B5EF4-FFF2-40B4-BE49-F238E27FC236}">
                <a16:creationId xmlns:a16="http://schemas.microsoft.com/office/drawing/2014/main" id="{5EA18640-B9A6-4169-85F9-52A16245E0A5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31" name="Straight Connector 530">
            <a:extLst>
              <a:ext uri="{FF2B5EF4-FFF2-40B4-BE49-F238E27FC236}">
                <a16:creationId xmlns:a16="http://schemas.microsoft.com/office/drawing/2014/main" id="{A0BF1454-4D28-4B9F-BC78-36610CE13CC8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Straight Connector 531">
            <a:extLst>
              <a:ext uri="{FF2B5EF4-FFF2-40B4-BE49-F238E27FC236}">
                <a16:creationId xmlns:a16="http://schemas.microsoft.com/office/drawing/2014/main" id="{E99005F8-7D31-4018-ADE7-AE6E9B645823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Connector 532">
            <a:extLst>
              <a:ext uri="{FF2B5EF4-FFF2-40B4-BE49-F238E27FC236}">
                <a16:creationId xmlns:a16="http://schemas.microsoft.com/office/drawing/2014/main" id="{D440E6C7-2CCC-42CB-B72C-134444E64B4F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Straight Connector 533">
            <a:extLst>
              <a:ext uri="{FF2B5EF4-FFF2-40B4-BE49-F238E27FC236}">
                <a16:creationId xmlns:a16="http://schemas.microsoft.com/office/drawing/2014/main" id="{6ABC1EDC-6747-4DE9-ABA1-A885C8E32CD2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Connector 534">
            <a:extLst>
              <a:ext uri="{FF2B5EF4-FFF2-40B4-BE49-F238E27FC236}">
                <a16:creationId xmlns:a16="http://schemas.microsoft.com/office/drawing/2014/main" id="{36A0FB02-77F3-490B-B993-7F8ACCB0ED1F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Straight Connector 535">
            <a:extLst>
              <a:ext uri="{FF2B5EF4-FFF2-40B4-BE49-F238E27FC236}">
                <a16:creationId xmlns:a16="http://schemas.microsoft.com/office/drawing/2014/main" id="{A27A5497-8C21-4FD1-8FA5-08B51B260337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Connector 536">
            <a:extLst>
              <a:ext uri="{FF2B5EF4-FFF2-40B4-BE49-F238E27FC236}">
                <a16:creationId xmlns:a16="http://schemas.microsoft.com/office/drawing/2014/main" id="{8AE4D03E-2D7F-4CBE-A8DE-A4FC586BBF42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Straight Connector 537">
            <a:extLst>
              <a:ext uri="{FF2B5EF4-FFF2-40B4-BE49-F238E27FC236}">
                <a16:creationId xmlns:a16="http://schemas.microsoft.com/office/drawing/2014/main" id="{22341DE8-0713-473A-8E45-1B03E8CC2064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Straight Connector 538">
            <a:extLst>
              <a:ext uri="{FF2B5EF4-FFF2-40B4-BE49-F238E27FC236}">
                <a16:creationId xmlns:a16="http://schemas.microsoft.com/office/drawing/2014/main" id="{A98BCB78-0B9D-4F82-B865-C552135490E3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Straight Connector 539">
            <a:extLst>
              <a:ext uri="{FF2B5EF4-FFF2-40B4-BE49-F238E27FC236}">
                <a16:creationId xmlns:a16="http://schemas.microsoft.com/office/drawing/2014/main" id="{FEE402DF-47E4-4035-911F-37E4324E627D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1" name="Freeform: Shape 540">
            <a:extLst>
              <a:ext uri="{FF2B5EF4-FFF2-40B4-BE49-F238E27FC236}">
                <a16:creationId xmlns:a16="http://schemas.microsoft.com/office/drawing/2014/main" id="{61628844-641D-4093-B8C1-C8C61E6BDF96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456</xdr:row>
      <xdr:rowOff>61913</xdr:rowOff>
    </xdr:from>
    <xdr:to>
      <xdr:col>31</xdr:col>
      <xdr:colOff>90488</xdr:colOff>
      <xdr:row>491</xdr:row>
      <xdr:rowOff>85725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7B5AE94B-927E-4F94-A861-8B0CF72D2D1E}"/>
            </a:ext>
          </a:extLst>
        </xdr:cNvPr>
        <xdr:cNvGrpSpPr/>
      </xdr:nvGrpSpPr>
      <xdr:grpSpPr>
        <a:xfrm>
          <a:off x="395288" y="70651688"/>
          <a:ext cx="4714875" cy="5024437"/>
          <a:chOff x="395288" y="40381238"/>
          <a:chExt cx="4714875" cy="5024437"/>
        </a:xfrm>
      </xdr:grpSpPr>
      <xdr:cxnSp macro="">
        <xdr:nvCxnSpPr>
          <xdr:cNvPr id="543" name="Straight Connector 542">
            <a:extLst>
              <a:ext uri="{FF2B5EF4-FFF2-40B4-BE49-F238E27FC236}">
                <a16:creationId xmlns:a16="http://schemas.microsoft.com/office/drawing/2014/main" id="{E91CE1BD-CFA1-476F-A80F-AF5A69987E87}"/>
              </a:ext>
            </a:extLst>
          </xdr:cNvPr>
          <xdr:cNvCxnSpPr/>
        </xdr:nvCxnSpPr>
        <xdr:spPr>
          <a:xfrm flipH="1">
            <a:off x="2757488" y="41043225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Connector 543">
            <a:extLst>
              <a:ext uri="{FF2B5EF4-FFF2-40B4-BE49-F238E27FC236}">
                <a16:creationId xmlns:a16="http://schemas.microsoft.com/office/drawing/2014/main" id="{F6FB78FA-49B1-46E5-B7BE-8DE1E514EACF}"/>
              </a:ext>
            </a:extLst>
          </xdr:cNvPr>
          <xdr:cNvCxnSpPr/>
        </xdr:nvCxnSpPr>
        <xdr:spPr>
          <a:xfrm>
            <a:off x="1547813" y="41043225"/>
            <a:ext cx="1200150" cy="1975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Connector 544">
            <a:extLst>
              <a:ext uri="{FF2B5EF4-FFF2-40B4-BE49-F238E27FC236}">
                <a16:creationId xmlns:a16="http://schemas.microsoft.com/office/drawing/2014/main" id="{4379834E-92CD-44B7-96CA-A26A554C3B2E}"/>
              </a:ext>
            </a:extLst>
          </xdr:cNvPr>
          <xdr:cNvCxnSpPr/>
        </xdr:nvCxnSpPr>
        <xdr:spPr>
          <a:xfrm>
            <a:off x="1133475" y="42210038"/>
            <a:ext cx="1624013" cy="11239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6" name="Straight Connector 545">
            <a:extLst>
              <a:ext uri="{FF2B5EF4-FFF2-40B4-BE49-F238E27FC236}">
                <a16:creationId xmlns:a16="http://schemas.microsoft.com/office/drawing/2014/main" id="{5CFAB850-791B-4F25-B551-4EDED19350C1}"/>
              </a:ext>
            </a:extLst>
          </xdr:cNvPr>
          <xdr:cNvCxnSpPr/>
        </xdr:nvCxnSpPr>
        <xdr:spPr>
          <a:xfrm>
            <a:off x="1138238" y="42800588"/>
            <a:ext cx="1614487" cy="6703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Straight Connector 546">
            <a:extLst>
              <a:ext uri="{FF2B5EF4-FFF2-40B4-BE49-F238E27FC236}">
                <a16:creationId xmlns:a16="http://schemas.microsoft.com/office/drawing/2014/main" id="{6EC824C5-5786-47E5-BC7D-76A122CFCCE2}"/>
              </a:ext>
            </a:extLst>
          </xdr:cNvPr>
          <xdr:cNvCxnSpPr/>
        </xdr:nvCxnSpPr>
        <xdr:spPr>
          <a:xfrm>
            <a:off x="1143000" y="43705463"/>
            <a:ext cx="1604963" cy="2238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Straight Connector 549">
            <a:extLst>
              <a:ext uri="{FF2B5EF4-FFF2-40B4-BE49-F238E27FC236}">
                <a16:creationId xmlns:a16="http://schemas.microsoft.com/office/drawing/2014/main" id="{20524380-F5D2-4344-873F-AF453442349E}"/>
              </a:ext>
            </a:extLst>
          </xdr:cNvPr>
          <xdr:cNvCxnSpPr/>
        </xdr:nvCxnSpPr>
        <xdr:spPr>
          <a:xfrm flipV="1">
            <a:off x="2747963" y="43291125"/>
            <a:ext cx="1628775" cy="41965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" name="Straight Connector 550">
            <a:extLst>
              <a:ext uri="{FF2B5EF4-FFF2-40B4-BE49-F238E27FC236}">
                <a16:creationId xmlns:a16="http://schemas.microsoft.com/office/drawing/2014/main" id="{6E3463ED-7A5A-47E0-89B4-49E035C06459}"/>
              </a:ext>
            </a:extLst>
          </xdr:cNvPr>
          <xdr:cNvCxnSpPr/>
        </xdr:nvCxnSpPr>
        <xdr:spPr>
          <a:xfrm flipV="1">
            <a:off x="2752725" y="42791063"/>
            <a:ext cx="1619250" cy="67892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2" name="Straight Connector 551">
            <a:extLst>
              <a:ext uri="{FF2B5EF4-FFF2-40B4-BE49-F238E27FC236}">
                <a16:creationId xmlns:a16="http://schemas.microsoft.com/office/drawing/2014/main" id="{9BDE0F14-C7AC-401F-9837-C83D104EACF3}"/>
              </a:ext>
            </a:extLst>
          </xdr:cNvPr>
          <xdr:cNvCxnSpPr/>
        </xdr:nvCxnSpPr>
        <xdr:spPr>
          <a:xfrm flipV="1">
            <a:off x="2757488" y="42229088"/>
            <a:ext cx="1614487" cy="110059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Straight Connector 552">
            <a:extLst>
              <a:ext uri="{FF2B5EF4-FFF2-40B4-BE49-F238E27FC236}">
                <a16:creationId xmlns:a16="http://schemas.microsoft.com/office/drawing/2014/main" id="{6F0EF307-36FA-4525-A316-C989F0A5E9F6}"/>
              </a:ext>
            </a:extLst>
          </xdr:cNvPr>
          <xdr:cNvCxnSpPr/>
        </xdr:nvCxnSpPr>
        <xdr:spPr>
          <a:xfrm flipH="1">
            <a:off x="2757297" y="41028938"/>
            <a:ext cx="1205103" cy="1995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Straight Connector 553">
            <a:extLst>
              <a:ext uri="{FF2B5EF4-FFF2-40B4-BE49-F238E27FC236}">
                <a16:creationId xmlns:a16="http://schemas.microsoft.com/office/drawing/2014/main" id="{0CB7F5B1-1E4D-4CB6-8EA9-A7BC5E5E119B}"/>
              </a:ext>
            </a:extLst>
          </xdr:cNvPr>
          <xdr:cNvCxnSpPr/>
        </xdr:nvCxnSpPr>
        <xdr:spPr>
          <a:xfrm flipV="1">
            <a:off x="2867025" y="41038465"/>
            <a:ext cx="457200" cy="142820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Connector 554">
            <a:extLst>
              <a:ext uri="{FF2B5EF4-FFF2-40B4-BE49-F238E27FC236}">
                <a16:creationId xmlns:a16="http://schemas.microsoft.com/office/drawing/2014/main" id="{95B8F0FB-6DF3-4527-8660-1A9BB51F4EE9}"/>
              </a:ext>
            </a:extLst>
          </xdr:cNvPr>
          <xdr:cNvCxnSpPr/>
        </xdr:nvCxnSpPr>
        <xdr:spPr>
          <a:xfrm flipV="1">
            <a:off x="2757488" y="43714989"/>
            <a:ext cx="1614487" cy="2150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Straight Connector 555">
            <a:extLst>
              <a:ext uri="{FF2B5EF4-FFF2-40B4-BE49-F238E27FC236}">
                <a16:creationId xmlns:a16="http://schemas.microsoft.com/office/drawing/2014/main" id="{B402A15B-64EA-4FDA-B21D-30D5CF8FABD1}"/>
              </a:ext>
            </a:extLst>
          </xdr:cNvPr>
          <xdr:cNvCxnSpPr/>
        </xdr:nvCxnSpPr>
        <xdr:spPr>
          <a:xfrm flipV="1">
            <a:off x="2752725" y="40895588"/>
            <a:ext cx="0" cy="421957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Straight Connector 556">
            <a:extLst>
              <a:ext uri="{FF2B5EF4-FFF2-40B4-BE49-F238E27FC236}">
                <a16:creationId xmlns:a16="http://schemas.microsoft.com/office/drawing/2014/main" id="{C7D467BA-F515-4838-ACB2-E0B854F68DB3}"/>
              </a:ext>
            </a:extLst>
          </xdr:cNvPr>
          <xdr:cNvCxnSpPr/>
        </xdr:nvCxnSpPr>
        <xdr:spPr>
          <a:xfrm>
            <a:off x="2181225" y="41043225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8" name="Straight Connector 557">
            <a:extLst>
              <a:ext uri="{FF2B5EF4-FFF2-40B4-BE49-F238E27FC236}">
                <a16:creationId xmlns:a16="http://schemas.microsoft.com/office/drawing/2014/main" id="{EF7C2E8A-1658-4A4E-89F4-310CC3A06BAC}"/>
              </a:ext>
            </a:extLst>
          </xdr:cNvPr>
          <xdr:cNvCxnSpPr/>
        </xdr:nvCxnSpPr>
        <xdr:spPr>
          <a:xfrm>
            <a:off x="1143000" y="41467088"/>
            <a:ext cx="1614488" cy="1719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Straight Connector 558">
            <a:extLst>
              <a:ext uri="{FF2B5EF4-FFF2-40B4-BE49-F238E27FC236}">
                <a16:creationId xmlns:a16="http://schemas.microsoft.com/office/drawing/2014/main" id="{06BE7AF3-4C3C-42FD-B8BF-BECF9CE4BE6A}"/>
              </a:ext>
            </a:extLst>
          </xdr:cNvPr>
          <xdr:cNvCxnSpPr/>
        </xdr:nvCxnSpPr>
        <xdr:spPr>
          <a:xfrm flipV="1">
            <a:off x="2762250" y="41471850"/>
            <a:ext cx="1604963" cy="1709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0" name="Straight Connector 559">
            <a:extLst>
              <a:ext uri="{FF2B5EF4-FFF2-40B4-BE49-F238E27FC236}">
                <a16:creationId xmlns:a16="http://schemas.microsoft.com/office/drawing/2014/main" id="{FF7F2E29-C62A-4F6E-BD0A-F107CB2ECA9C}"/>
              </a:ext>
            </a:extLst>
          </xdr:cNvPr>
          <xdr:cNvCxnSpPr/>
        </xdr:nvCxnSpPr>
        <xdr:spPr>
          <a:xfrm flipV="1">
            <a:off x="2752725" y="41033700"/>
            <a:ext cx="0" cy="142875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1" name="Straight Connector 560">
            <a:extLst>
              <a:ext uri="{FF2B5EF4-FFF2-40B4-BE49-F238E27FC236}">
                <a16:creationId xmlns:a16="http://schemas.microsoft.com/office/drawing/2014/main" id="{CB7966F5-9AC3-47D2-8B29-746967FA85DB}"/>
              </a:ext>
            </a:extLst>
          </xdr:cNvPr>
          <xdr:cNvCxnSpPr/>
        </xdr:nvCxnSpPr>
        <xdr:spPr>
          <a:xfrm flipH="1" flipV="1">
            <a:off x="2181225" y="41033700"/>
            <a:ext cx="466178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2" name="Straight Connector 561">
            <a:extLst>
              <a:ext uri="{FF2B5EF4-FFF2-40B4-BE49-F238E27FC236}">
                <a16:creationId xmlns:a16="http://schemas.microsoft.com/office/drawing/2014/main" id="{02E10DF1-39ED-47FF-A9BD-E180023BB25D}"/>
              </a:ext>
            </a:extLst>
          </xdr:cNvPr>
          <xdr:cNvCxnSpPr/>
        </xdr:nvCxnSpPr>
        <xdr:spPr>
          <a:xfrm flipH="1" flipV="1">
            <a:off x="1547813" y="41038463"/>
            <a:ext cx="1042987" cy="17287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3" name="Straight Connector 562">
            <a:extLst>
              <a:ext uri="{FF2B5EF4-FFF2-40B4-BE49-F238E27FC236}">
                <a16:creationId xmlns:a16="http://schemas.microsoft.com/office/drawing/2014/main" id="{2EF88428-9C19-4CDF-86D6-FCC0F3677274}"/>
              </a:ext>
            </a:extLst>
          </xdr:cNvPr>
          <xdr:cNvCxnSpPr/>
        </xdr:nvCxnSpPr>
        <xdr:spPr>
          <a:xfrm flipH="1">
            <a:off x="2914651" y="41028938"/>
            <a:ext cx="1057274" cy="17287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4" name="Straight Connector 563">
            <a:extLst>
              <a:ext uri="{FF2B5EF4-FFF2-40B4-BE49-F238E27FC236}">
                <a16:creationId xmlns:a16="http://schemas.microsoft.com/office/drawing/2014/main" id="{D804511D-8051-4CD0-B03E-61CE36EABFD7}"/>
              </a:ext>
            </a:extLst>
          </xdr:cNvPr>
          <xdr:cNvCxnSpPr/>
        </xdr:nvCxnSpPr>
        <xdr:spPr>
          <a:xfrm flipH="1" flipV="1">
            <a:off x="1138239" y="41467088"/>
            <a:ext cx="1462086" cy="15525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5" name="Straight Connector 564">
            <a:extLst>
              <a:ext uri="{FF2B5EF4-FFF2-40B4-BE49-F238E27FC236}">
                <a16:creationId xmlns:a16="http://schemas.microsoft.com/office/drawing/2014/main" id="{6E689B17-5736-471E-B999-218F652648A9}"/>
              </a:ext>
            </a:extLst>
          </xdr:cNvPr>
          <xdr:cNvCxnSpPr/>
        </xdr:nvCxnSpPr>
        <xdr:spPr>
          <a:xfrm flipH="1">
            <a:off x="2914650" y="41457562"/>
            <a:ext cx="1457325" cy="15668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6" name="Straight Connector 565">
            <a:extLst>
              <a:ext uri="{FF2B5EF4-FFF2-40B4-BE49-F238E27FC236}">
                <a16:creationId xmlns:a16="http://schemas.microsoft.com/office/drawing/2014/main" id="{29EE52AF-2F1C-4DB6-A609-B05E2EF09352}"/>
              </a:ext>
            </a:extLst>
          </xdr:cNvPr>
          <xdr:cNvCxnSpPr/>
        </xdr:nvCxnSpPr>
        <xdr:spPr>
          <a:xfrm flipH="1" flipV="1">
            <a:off x="1128713" y="42210038"/>
            <a:ext cx="1462087" cy="1014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7" name="Straight Connector 566">
            <a:extLst>
              <a:ext uri="{FF2B5EF4-FFF2-40B4-BE49-F238E27FC236}">
                <a16:creationId xmlns:a16="http://schemas.microsoft.com/office/drawing/2014/main" id="{0BE3CC29-A641-403C-97A3-3151DFF4D340}"/>
              </a:ext>
            </a:extLst>
          </xdr:cNvPr>
          <xdr:cNvCxnSpPr/>
        </xdr:nvCxnSpPr>
        <xdr:spPr>
          <a:xfrm flipH="1">
            <a:off x="2919413" y="42224325"/>
            <a:ext cx="1457325" cy="9953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8" name="Straight Connector 567">
            <a:extLst>
              <a:ext uri="{FF2B5EF4-FFF2-40B4-BE49-F238E27FC236}">
                <a16:creationId xmlns:a16="http://schemas.microsoft.com/office/drawing/2014/main" id="{6B8B4715-8FF3-4519-B338-14ABE4F9B4A5}"/>
              </a:ext>
            </a:extLst>
          </xdr:cNvPr>
          <xdr:cNvCxnSpPr/>
        </xdr:nvCxnSpPr>
        <xdr:spPr>
          <a:xfrm flipH="1" flipV="1">
            <a:off x="1138238" y="42800586"/>
            <a:ext cx="1466850" cy="61436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" name="Straight Connector 568">
            <a:extLst>
              <a:ext uri="{FF2B5EF4-FFF2-40B4-BE49-F238E27FC236}">
                <a16:creationId xmlns:a16="http://schemas.microsoft.com/office/drawing/2014/main" id="{A48ECDBA-0E3D-4DD5-A210-92E033C8D14E}"/>
              </a:ext>
            </a:extLst>
          </xdr:cNvPr>
          <xdr:cNvCxnSpPr/>
        </xdr:nvCxnSpPr>
        <xdr:spPr>
          <a:xfrm flipH="1">
            <a:off x="2914652" y="42791063"/>
            <a:ext cx="1466848" cy="60959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0" name="Straight Connector 569">
            <a:extLst>
              <a:ext uri="{FF2B5EF4-FFF2-40B4-BE49-F238E27FC236}">
                <a16:creationId xmlns:a16="http://schemas.microsoft.com/office/drawing/2014/main" id="{363767A2-7F9B-4544-A038-987C023FF5C9}"/>
              </a:ext>
            </a:extLst>
          </xdr:cNvPr>
          <xdr:cNvCxnSpPr/>
        </xdr:nvCxnSpPr>
        <xdr:spPr>
          <a:xfrm flipH="1" flipV="1">
            <a:off x="1133475" y="43281600"/>
            <a:ext cx="1457325" cy="3810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Straight Connector 570">
            <a:extLst>
              <a:ext uri="{FF2B5EF4-FFF2-40B4-BE49-F238E27FC236}">
                <a16:creationId xmlns:a16="http://schemas.microsoft.com/office/drawing/2014/main" id="{1FD6CA68-2116-45AE-8CA3-B7208030357F}"/>
              </a:ext>
            </a:extLst>
          </xdr:cNvPr>
          <xdr:cNvCxnSpPr/>
        </xdr:nvCxnSpPr>
        <xdr:spPr>
          <a:xfrm flipH="1">
            <a:off x="2919413" y="43291125"/>
            <a:ext cx="1452562" cy="37623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2" name="Straight Connector 571">
            <a:extLst>
              <a:ext uri="{FF2B5EF4-FFF2-40B4-BE49-F238E27FC236}">
                <a16:creationId xmlns:a16="http://schemas.microsoft.com/office/drawing/2014/main" id="{C02FEAA3-F896-4B9A-81B0-8286F693399A}"/>
              </a:ext>
            </a:extLst>
          </xdr:cNvPr>
          <xdr:cNvCxnSpPr/>
        </xdr:nvCxnSpPr>
        <xdr:spPr>
          <a:xfrm flipH="1" flipV="1">
            <a:off x="1138238" y="43700700"/>
            <a:ext cx="1452563" cy="20478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3" name="Straight Connector 572">
            <a:extLst>
              <a:ext uri="{FF2B5EF4-FFF2-40B4-BE49-F238E27FC236}">
                <a16:creationId xmlns:a16="http://schemas.microsoft.com/office/drawing/2014/main" id="{BB8C8D96-2EE3-47DB-84FF-195CFFBB733B}"/>
              </a:ext>
            </a:extLst>
          </xdr:cNvPr>
          <xdr:cNvCxnSpPr/>
        </xdr:nvCxnSpPr>
        <xdr:spPr>
          <a:xfrm flipH="1">
            <a:off x="2904197" y="43719750"/>
            <a:ext cx="1467779" cy="1905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Connector 575">
            <a:extLst>
              <a:ext uri="{FF2B5EF4-FFF2-40B4-BE49-F238E27FC236}">
                <a16:creationId xmlns:a16="http://schemas.microsoft.com/office/drawing/2014/main" id="{EADB1CEB-C574-402A-B1B8-9AB6FAA49E4F}"/>
              </a:ext>
            </a:extLst>
          </xdr:cNvPr>
          <xdr:cNvCxnSpPr/>
        </xdr:nvCxnSpPr>
        <xdr:spPr>
          <a:xfrm>
            <a:off x="1066799" y="45034200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Connector 576">
            <a:extLst>
              <a:ext uri="{FF2B5EF4-FFF2-40B4-BE49-F238E27FC236}">
                <a16:creationId xmlns:a16="http://schemas.microsoft.com/office/drawing/2014/main" id="{B6F3DDAB-A632-416A-9E8E-322B528A39C1}"/>
              </a:ext>
            </a:extLst>
          </xdr:cNvPr>
          <xdr:cNvCxnSpPr/>
        </xdr:nvCxnSpPr>
        <xdr:spPr>
          <a:xfrm>
            <a:off x="1133475" y="44224575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Connector 577">
            <a:extLst>
              <a:ext uri="{FF2B5EF4-FFF2-40B4-BE49-F238E27FC236}">
                <a16:creationId xmlns:a16="http://schemas.microsoft.com/office/drawing/2014/main" id="{84F20AC2-0721-4457-8F5F-1201CA70C10A}"/>
              </a:ext>
            </a:extLst>
          </xdr:cNvPr>
          <xdr:cNvCxnSpPr/>
        </xdr:nvCxnSpPr>
        <xdr:spPr>
          <a:xfrm flipH="1">
            <a:off x="1090613" y="449960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Connector 578">
            <a:extLst>
              <a:ext uri="{FF2B5EF4-FFF2-40B4-BE49-F238E27FC236}">
                <a16:creationId xmlns:a16="http://schemas.microsoft.com/office/drawing/2014/main" id="{7CCD52EC-4D00-4CD0-82C8-8E1310A84DE2}"/>
              </a:ext>
            </a:extLst>
          </xdr:cNvPr>
          <xdr:cNvCxnSpPr/>
        </xdr:nvCxnSpPr>
        <xdr:spPr>
          <a:xfrm>
            <a:off x="4371975" y="44224575"/>
            <a:ext cx="0" cy="1181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Connector 579">
            <a:extLst>
              <a:ext uri="{FF2B5EF4-FFF2-40B4-BE49-F238E27FC236}">
                <a16:creationId xmlns:a16="http://schemas.microsoft.com/office/drawing/2014/main" id="{4F72207A-B116-44B0-A070-783E8D88E714}"/>
              </a:ext>
            </a:extLst>
          </xdr:cNvPr>
          <xdr:cNvCxnSpPr/>
        </xdr:nvCxnSpPr>
        <xdr:spPr>
          <a:xfrm flipH="1">
            <a:off x="4329113" y="449960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" name="Straight Connector 580">
            <a:extLst>
              <a:ext uri="{FF2B5EF4-FFF2-40B4-BE49-F238E27FC236}">
                <a16:creationId xmlns:a16="http://schemas.microsoft.com/office/drawing/2014/main" id="{8994FA26-64C4-4CD1-AD50-58575DC65B2E}"/>
              </a:ext>
            </a:extLst>
          </xdr:cNvPr>
          <xdr:cNvCxnSpPr/>
        </xdr:nvCxnSpPr>
        <xdr:spPr>
          <a:xfrm flipH="1">
            <a:off x="2709862" y="4499610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" name="Straight Connector 581">
            <a:extLst>
              <a:ext uri="{FF2B5EF4-FFF2-40B4-BE49-F238E27FC236}">
                <a16:creationId xmlns:a16="http://schemas.microsoft.com/office/drawing/2014/main" id="{D777463D-92C9-42BB-A9B5-FD300E9677CE}"/>
              </a:ext>
            </a:extLst>
          </xdr:cNvPr>
          <xdr:cNvCxnSpPr/>
        </xdr:nvCxnSpPr>
        <xdr:spPr>
          <a:xfrm>
            <a:off x="1066800" y="44462700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Straight Connector 582">
            <a:extLst>
              <a:ext uri="{FF2B5EF4-FFF2-40B4-BE49-F238E27FC236}">
                <a16:creationId xmlns:a16="http://schemas.microsoft.com/office/drawing/2014/main" id="{D46EF94F-CCB8-435F-A123-B5AD5514B730}"/>
              </a:ext>
            </a:extLst>
          </xdr:cNvPr>
          <xdr:cNvCxnSpPr/>
        </xdr:nvCxnSpPr>
        <xdr:spPr>
          <a:xfrm>
            <a:off x="2590800" y="4423410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4" name="Straight Connector 583">
            <a:extLst>
              <a:ext uri="{FF2B5EF4-FFF2-40B4-BE49-F238E27FC236}">
                <a16:creationId xmlns:a16="http://schemas.microsoft.com/office/drawing/2014/main" id="{F9096F68-D34E-491E-A802-3478733CEEAD}"/>
              </a:ext>
            </a:extLst>
          </xdr:cNvPr>
          <xdr:cNvCxnSpPr/>
        </xdr:nvCxnSpPr>
        <xdr:spPr>
          <a:xfrm flipH="1">
            <a:off x="2543175" y="44419837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5" name="Straight Connector 584">
            <a:extLst>
              <a:ext uri="{FF2B5EF4-FFF2-40B4-BE49-F238E27FC236}">
                <a16:creationId xmlns:a16="http://schemas.microsoft.com/office/drawing/2014/main" id="{6E8E7AA9-7B90-44BD-AA36-9BDF9ED7E6F7}"/>
              </a:ext>
            </a:extLst>
          </xdr:cNvPr>
          <xdr:cNvCxnSpPr/>
        </xdr:nvCxnSpPr>
        <xdr:spPr>
          <a:xfrm>
            <a:off x="2914650" y="44234099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Straight Connector 585">
            <a:extLst>
              <a:ext uri="{FF2B5EF4-FFF2-40B4-BE49-F238E27FC236}">
                <a16:creationId xmlns:a16="http://schemas.microsoft.com/office/drawing/2014/main" id="{0B033DCF-0BFA-4D64-AF80-4BC28A1E55E8}"/>
              </a:ext>
            </a:extLst>
          </xdr:cNvPr>
          <xdr:cNvCxnSpPr/>
        </xdr:nvCxnSpPr>
        <xdr:spPr>
          <a:xfrm flipH="1">
            <a:off x="2867025" y="4441983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Straight Connector 587">
            <a:extLst>
              <a:ext uri="{FF2B5EF4-FFF2-40B4-BE49-F238E27FC236}">
                <a16:creationId xmlns:a16="http://schemas.microsoft.com/office/drawing/2014/main" id="{E0CB6B25-B5FD-4997-8CF1-7515F1C6EBFE}"/>
              </a:ext>
            </a:extLst>
          </xdr:cNvPr>
          <xdr:cNvCxnSpPr/>
        </xdr:nvCxnSpPr>
        <xdr:spPr>
          <a:xfrm>
            <a:off x="1895475" y="44115037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Straight Connector 588">
            <a:extLst>
              <a:ext uri="{FF2B5EF4-FFF2-40B4-BE49-F238E27FC236}">
                <a16:creationId xmlns:a16="http://schemas.microsoft.com/office/drawing/2014/main" id="{12DEBA43-D2F1-46EB-82D5-8D567B96FA71}"/>
              </a:ext>
            </a:extLst>
          </xdr:cNvPr>
          <xdr:cNvCxnSpPr/>
        </xdr:nvCxnSpPr>
        <xdr:spPr>
          <a:xfrm>
            <a:off x="1824037" y="44110274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" name="Straight Connector 589">
            <a:extLst>
              <a:ext uri="{FF2B5EF4-FFF2-40B4-BE49-F238E27FC236}">
                <a16:creationId xmlns:a16="http://schemas.microsoft.com/office/drawing/2014/main" id="{DFB48DDF-EDCA-4B93-9FEF-8C678D267F0A}"/>
              </a:ext>
            </a:extLst>
          </xdr:cNvPr>
          <xdr:cNvCxnSpPr/>
        </xdr:nvCxnSpPr>
        <xdr:spPr>
          <a:xfrm flipH="1">
            <a:off x="1090613" y="44424592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" name="Straight Connector 590">
            <a:extLst>
              <a:ext uri="{FF2B5EF4-FFF2-40B4-BE49-F238E27FC236}">
                <a16:creationId xmlns:a16="http://schemas.microsoft.com/office/drawing/2014/main" id="{DA6CE682-DC11-47D1-B71F-C516981D9813}"/>
              </a:ext>
            </a:extLst>
          </xdr:cNvPr>
          <xdr:cNvCxnSpPr/>
        </xdr:nvCxnSpPr>
        <xdr:spPr>
          <a:xfrm>
            <a:off x="1857375" y="4460557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Straight Connector 591">
            <a:extLst>
              <a:ext uri="{FF2B5EF4-FFF2-40B4-BE49-F238E27FC236}">
                <a16:creationId xmlns:a16="http://schemas.microsoft.com/office/drawing/2014/main" id="{A5EF539C-13D3-4D5E-8C86-838054606F0D}"/>
              </a:ext>
            </a:extLst>
          </xdr:cNvPr>
          <xdr:cNvCxnSpPr/>
        </xdr:nvCxnSpPr>
        <xdr:spPr>
          <a:xfrm>
            <a:off x="3648075" y="4449603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" name="Straight Connector 592">
            <a:extLst>
              <a:ext uri="{FF2B5EF4-FFF2-40B4-BE49-F238E27FC236}">
                <a16:creationId xmlns:a16="http://schemas.microsoft.com/office/drawing/2014/main" id="{B505E533-A79F-43DB-975E-3992C14C2BA0}"/>
              </a:ext>
            </a:extLst>
          </xdr:cNvPr>
          <xdr:cNvCxnSpPr/>
        </xdr:nvCxnSpPr>
        <xdr:spPr>
          <a:xfrm flipH="1">
            <a:off x="3605212" y="4471035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" name="Straight Connector 593">
            <a:extLst>
              <a:ext uri="{FF2B5EF4-FFF2-40B4-BE49-F238E27FC236}">
                <a16:creationId xmlns:a16="http://schemas.microsoft.com/office/drawing/2014/main" id="{6CE1213E-B61B-4C5F-9E97-D2AB38390846}"/>
              </a:ext>
            </a:extLst>
          </xdr:cNvPr>
          <xdr:cNvCxnSpPr/>
        </xdr:nvCxnSpPr>
        <xdr:spPr>
          <a:xfrm flipV="1">
            <a:off x="1133475" y="40395525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Straight Connector 594">
            <a:extLst>
              <a:ext uri="{FF2B5EF4-FFF2-40B4-BE49-F238E27FC236}">
                <a16:creationId xmlns:a16="http://schemas.microsoft.com/office/drawing/2014/main" id="{80734B37-8F6E-4B03-848A-A208CB0B7E3A}"/>
              </a:ext>
            </a:extLst>
          </xdr:cNvPr>
          <xdr:cNvCxnSpPr/>
        </xdr:nvCxnSpPr>
        <xdr:spPr>
          <a:xfrm>
            <a:off x="1062038" y="4074795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" name="Straight Connector 595">
            <a:extLst>
              <a:ext uri="{FF2B5EF4-FFF2-40B4-BE49-F238E27FC236}">
                <a16:creationId xmlns:a16="http://schemas.microsoft.com/office/drawing/2014/main" id="{9D78774B-B99B-4DFE-A8B0-464E9F254D8E}"/>
              </a:ext>
            </a:extLst>
          </xdr:cNvPr>
          <xdr:cNvCxnSpPr/>
        </xdr:nvCxnSpPr>
        <xdr:spPr>
          <a:xfrm flipH="1">
            <a:off x="1085845" y="407098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" name="Straight Connector 596">
            <a:extLst>
              <a:ext uri="{FF2B5EF4-FFF2-40B4-BE49-F238E27FC236}">
                <a16:creationId xmlns:a16="http://schemas.microsoft.com/office/drawing/2014/main" id="{9EDF96F4-DB2E-4961-99E9-A4D8DB8506B7}"/>
              </a:ext>
            </a:extLst>
          </xdr:cNvPr>
          <xdr:cNvCxnSpPr/>
        </xdr:nvCxnSpPr>
        <xdr:spPr>
          <a:xfrm>
            <a:off x="1543062" y="4068127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Straight Connector 597">
            <a:extLst>
              <a:ext uri="{FF2B5EF4-FFF2-40B4-BE49-F238E27FC236}">
                <a16:creationId xmlns:a16="http://schemas.microsoft.com/office/drawing/2014/main" id="{464117FE-E05E-402E-99EE-1842D792B5B6}"/>
              </a:ext>
            </a:extLst>
          </xdr:cNvPr>
          <xdr:cNvCxnSpPr/>
        </xdr:nvCxnSpPr>
        <xdr:spPr>
          <a:xfrm flipH="1">
            <a:off x="1500201" y="407050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" name="Straight Connector 598">
            <a:extLst>
              <a:ext uri="{FF2B5EF4-FFF2-40B4-BE49-F238E27FC236}">
                <a16:creationId xmlns:a16="http://schemas.microsoft.com/office/drawing/2014/main" id="{E76AC3D9-EF18-4936-B6C3-2F67DE08B44B}"/>
              </a:ext>
            </a:extLst>
          </xdr:cNvPr>
          <xdr:cNvCxnSpPr/>
        </xdr:nvCxnSpPr>
        <xdr:spPr>
          <a:xfrm>
            <a:off x="2752726" y="40381238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" name="Straight Connector 599">
            <a:extLst>
              <a:ext uri="{FF2B5EF4-FFF2-40B4-BE49-F238E27FC236}">
                <a16:creationId xmlns:a16="http://schemas.microsoft.com/office/drawing/2014/main" id="{0AA46377-075D-418E-8DB5-9880C5EE8F69}"/>
              </a:ext>
            </a:extLst>
          </xdr:cNvPr>
          <xdr:cNvCxnSpPr/>
        </xdr:nvCxnSpPr>
        <xdr:spPr>
          <a:xfrm>
            <a:off x="3967166" y="4068603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Straight Connector 600">
            <a:extLst>
              <a:ext uri="{FF2B5EF4-FFF2-40B4-BE49-F238E27FC236}">
                <a16:creationId xmlns:a16="http://schemas.microsoft.com/office/drawing/2014/main" id="{25AF63DB-E038-413E-888A-C4DCE21819F5}"/>
              </a:ext>
            </a:extLst>
          </xdr:cNvPr>
          <xdr:cNvCxnSpPr/>
        </xdr:nvCxnSpPr>
        <xdr:spPr>
          <a:xfrm flipH="1">
            <a:off x="3933829" y="4070984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" name="Straight Connector 601">
            <a:extLst>
              <a:ext uri="{FF2B5EF4-FFF2-40B4-BE49-F238E27FC236}">
                <a16:creationId xmlns:a16="http://schemas.microsoft.com/office/drawing/2014/main" id="{44832E09-BA93-47BB-8B2F-CD89C3B5D5A6}"/>
              </a:ext>
            </a:extLst>
          </xdr:cNvPr>
          <xdr:cNvCxnSpPr/>
        </xdr:nvCxnSpPr>
        <xdr:spPr>
          <a:xfrm flipV="1">
            <a:off x="4371975" y="40390762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" name="Straight Connector 602">
            <a:extLst>
              <a:ext uri="{FF2B5EF4-FFF2-40B4-BE49-F238E27FC236}">
                <a16:creationId xmlns:a16="http://schemas.microsoft.com/office/drawing/2014/main" id="{3C38D478-FD28-472C-A7D4-487913B1A80B}"/>
              </a:ext>
            </a:extLst>
          </xdr:cNvPr>
          <xdr:cNvCxnSpPr/>
        </xdr:nvCxnSpPr>
        <xdr:spPr>
          <a:xfrm flipH="1">
            <a:off x="4329113" y="407050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Straight Connector 603">
            <a:extLst>
              <a:ext uri="{FF2B5EF4-FFF2-40B4-BE49-F238E27FC236}">
                <a16:creationId xmlns:a16="http://schemas.microsoft.com/office/drawing/2014/main" id="{27ABEF20-2142-412D-A01F-B1E02881C81E}"/>
              </a:ext>
            </a:extLst>
          </xdr:cNvPr>
          <xdr:cNvCxnSpPr/>
        </xdr:nvCxnSpPr>
        <xdr:spPr>
          <a:xfrm>
            <a:off x="1057275" y="4046220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" name="Straight Connector 604">
            <a:extLst>
              <a:ext uri="{FF2B5EF4-FFF2-40B4-BE49-F238E27FC236}">
                <a16:creationId xmlns:a16="http://schemas.microsoft.com/office/drawing/2014/main" id="{71A5B433-0ABB-4D4C-94F9-2AF9F46CBD3D}"/>
              </a:ext>
            </a:extLst>
          </xdr:cNvPr>
          <xdr:cNvCxnSpPr/>
        </xdr:nvCxnSpPr>
        <xdr:spPr>
          <a:xfrm flipH="1">
            <a:off x="1085850" y="404241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" name="Straight Connector 605">
            <a:extLst>
              <a:ext uri="{FF2B5EF4-FFF2-40B4-BE49-F238E27FC236}">
                <a16:creationId xmlns:a16="http://schemas.microsoft.com/office/drawing/2014/main" id="{8C2636BD-A72C-4475-9D94-CBEA8E3FF99C}"/>
              </a:ext>
            </a:extLst>
          </xdr:cNvPr>
          <xdr:cNvCxnSpPr/>
        </xdr:nvCxnSpPr>
        <xdr:spPr>
          <a:xfrm flipH="1">
            <a:off x="4324350" y="404193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Straight Connector 606">
            <a:extLst>
              <a:ext uri="{FF2B5EF4-FFF2-40B4-BE49-F238E27FC236}">
                <a16:creationId xmlns:a16="http://schemas.microsoft.com/office/drawing/2014/main" id="{ED7004B8-B471-46CA-A158-446B592820F6}"/>
              </a:ext>
            </a:extLst>
          </xdr:cNvPr>
          <xdr:cNvCxnSpPr/>
        </xdr:nvCxnSpPr>
        <xdr:spPr>
          <a:xfrm flipH="1">
            <a:off x="2705101" y="4041933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" name="Straight Connector 607">
            <a:extLst>
              <a:ext uri="{FF2B5EF4-FFF2-40B4-BE49-F238E27FC236}">
                <a16:creationId xmlns:a16="http://schemas.microsoft.com/office/drawing/2014/main" id="{19BD4B13-6DBE-4DFD-BFCB-B430FEE7A4E1}"/>
              </a:ext>
            </a:extLst>
          </xdr:cNvPr>
          <xdr:cNvCxnSpPr/>
        </xdr:nvCxnSpPr>
        <xdr:spPr>
          <a:xfrm flipH="1">
            <a:off x="2705101" y="407098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" name="Straight Connector 608">
            <a:extLst>
              <a:ext uri="{FF2B5EF4-FFF2-40B4-BE49-F238E27FC236}">
                <a16:creationId xmlns:a16="http://schemas.microsoft.com/office/drawing/2014/main" id="{BE6D7569-9EF0-4D9F-9E98-B49A6F0D93DC}"/>
              </a:ext>
            </a:extLst>
          </xdr:cNvPr>
          <xdr:cNvCxnSpPr/>
        </xdr:nvCxnSpPr>
        <xdr:spPr>
          <a:xfrm flipH="1">
            <a:off x="409575" y="4103370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Straight Connector 609">
            <a:extLst>
              <a:ext uri="{FF2B5EF4-FFF2-40B4-BE49-F238E27FC236}">
                <a16:creationId xmlns:a16="http://schemas.microsoft.com/office/drawing/2014/main" id="{20D2D7A7-130F-4355-B932-C41D84866363}"/>
              </a:ext>
            </a:extLst>
          </xdr:cNvPr>
          <xdr:cNvCxnSpPr/>
        </xdr:nvCxnSpPr>
        <xdr:spPr>
          <a:xfrm>
            <a:off x="809626" y="40967025"/>
            <a:ext cx="0" cy="3286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" name="Straight Connector 610">
            <a:extLst>
              <a:ext uri="{FF2B5EF4-FFF2-40B4-BE49-F238E27FC236}">
                <a16:creationId xmlns:a16="http://schemas.microsoft.com/office/drawing/2014/main" id="{BF27A5ED-8A12-45C9-976E-3ABE42412ACD}"/>
              </a:ext>
            </a:extLst>
          </xdr:cNvPr>
          <xdr:cNvCxnSpPr/>
        </xdr:nvCxnSpPr>
        <xdr:spPr>
          <a:xfrm flipH="1">
            <a:off x="766763" y="4099560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" name="Straight Connector 611">
            <a:extLst>
              <a:ext uri="{FF2B5EF4-FFF2-40B4-BE49-F238E27FC236}">
                <a16:creationId xmlns:a16="http://schemas.microsoft.com/office/drawing/2014/main" id="{7BFDFF25-BA41-457D-8515-BF880D487D97}"/>
              </a:ext>
            </a:extLst>
          </xdr:cNvPr>
          <xdr:cNvCxnSpPr/>
        </xdr:nvCxnSpPr>
        <xdr:spPr>
          <a:xfrm flipH="1">
            <a:off x="723900" y="4146707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" name="Straight Connector 612">
            <a:extLst>
              <a:ext uri="{FF2B5EF4-FFF2-40B4-BE49-F238E27FC236}">
                <a16:creationId xmlns:a16="http://schemas.microsoft.com/office/drawing/2014/main" id="{D795FC77-8D63-4E94-8160-D16391E07A17}"/>
              </a:ext>
            </a:extLst>
          </xdr:cNvPr>
          <xdr:cNvCxnSpPr/>
        </xdr:nvCxnSpPr>
        <xdr:spPr>
          <a:xfrm flipH="1">
            <a:off x="762000" y="4142897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" name="Straight Connector 613">
            <a:extLst>
              <a:ext uri="{FF2B5EF4-FFF2-40B4-BE49-F238E27FC236}">
                <a16:creationId xmlns:a16="http://schemas.microsoft.com/office/drawing/2014/main" id="{63339278-2A33-4EF9-9CDB-87BBC473295E}"/>
              </a:ext>
            </a:extLst>
          </xdr:cNvPr>
          <xdr:cNvCxnSpPr/>
        </xdr:nvCxnSpPr>
        <xdr:spPr>
          <a:xfrm flipH="1">
            <a:off x="723900" y="42800590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" name="Straight Connector 614">
            <a:extLst>
              <a:ext uri="{FF2B5EF4-FFF2-40B4-BE49-F238E27FC236}">
                <a16:creationId xmlns:a16="http://schemas.microsoft.com/office/drawing/2014/main" id="{1325B2A9-D3D3-43FC-9E51-03EF8FB1500C}"/>
              </a:ext>
            </a:extLst>
          </xdr:cNvPr>
          <xdr:cNvCxnSpPr/>
        </xdr:nvCxnSpPr>
        <xdr:spPr>
          <a:xfrm flipH="1">
            <a:off x="762000" y="4276249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" name="Straight Connector 615">
            <a:extLst>
              <a:ext uri="{FF2B5EF4-FFF2-40B4-BE49-F238E27FC236}">
                <a16:creationId xmlns:a16="http://schemas.microsoft.com/office/drawing/2014/main" id="{BA65628E-5C59-4A7D-9601-CAC8225C3B6B}"/>
              </a:ext>
            </a:extLst>
          </xdr:cNvPr>
          <xdr:cNvCxnSpPr/>
        </xdr:nvCxnSpPr>
        <xdr:spPr>
          <a:xfrm flipH="1">
            <a:off x="723900" y="4328160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" name="Straight Connector 616">
            <a:extLst>
              <a:ext uri="{FF2B5EF4-FFF2-40B4-BE49-F238E27FC236}">
                <a16:creationId xmlns:a16="http://schemas.microsoft.com/office/drawing/2014/main" id="{70FC7C0B-0A78-42A7-8CB2-1044862C37D5}"/>
              </a:ext>
            </a:extLst>
          </xdr:cNvPr>
          <xdr:cNvCxnSpPr/>
        </xdr:nvCxnSpPr>
        <xdr:spPr>
          <a:xfrm flipH="1">
            <a:off x="762000" y="4324350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" name="Straight Connector 617">
            <a:extLst>
              <a:ext uri="{FF2B5EF4-FFF2-40B4-BE49-F238E27FC236}">
                <a16:creationId xmlns:a16="http://schemas.microsoft.com/office/drawing/2014/main" id="{80CB275D-DA47-4E73-948E-D6AC273B8F48}"/>
              </a:ext>
            </a:extLst>
          </xdr:cNvPr>
          <xdr:cNvCxnSpPr/>
        </xdr:nvCxnSpPr>
        <xdr:spPr>
          <a:xfrm flipH="1">
            <a:off x="728663" y="43700703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Straight Connector 618">
            <a:extLst>
              <a:ext uri="{FF2B5EF4-FFF2-40B4-BE49-F238E27FC236}">
                <a16:creationId xmlns:a16="http://schemas.microsoft.com/office/drawing/2014/main" id="{3AB52488-8E38-4FE2-BFBD-014777A9A9CA}"/>
              </a:ext>
            </a:extLst>
          </xdr:cNvPr>
          <xdr:cNvCxnSpPr/>
        </xdr:nvCxnSpPr>
        <xdr:spPr>
          <a:xfrm flipH="1">
            <a:off x="766763" y="4366260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Straight Connector 621">
            <a:extLst>
              <a:ext uri="{FF2B5EF4-FFF2-40B4-BE49-F238E27FC236}">
                <a16:creationId xmlns:a16="http://schemas.microsoft.com/office/drawing/2014/main" id="{F136DE43-2406-42DB-BE7B-428FDCFED2E8}"/>
              </a:ext>
            </a:extLst>
          </xdr:cNvPr>
          <xdr:cNvCxnSpPr/>
        </xdr:nvCxnSpPr>
        <xdr:spPr>
          <a:xfrm flipH="1">
            <a:off x="395288" y="44176940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" name="Straight Connector 622">
            <a:extLst>
              <a:ext uri="{FF2B5EF4-FFF2-40B4-BE49-F238E27FC236}">
                <a16:creationId xmlns:a16="http://schemas.microsoft.com/office/drawing/2014/main" id="{EC4F8FB4-2861-4BAB-BB7E-4EF6B0FE304E}"/>
              </a:ext>
            </a:extLst>
          </xdr:cNvPr>
          <xdr:cNvCxnSpPr/>
        </xdr:nvCxnSpPr>
        <xdr:spPr>
          <a:xfrm flipH="1">
            <a:off x="766764" y="4413884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" name="Straight Connector 623">
            <a:extLst>
              <a:ext uri="{FF2B5EF4-FFF2-40B4-BE49-F238E27FC236}">
                <a16:creationId xmlns:a16="http://schemas.microsoft.com/office/drawing/2014/main" id="{AAA7A27F-ABD9-4065-9392-1BEF1580E245}"/>
              </a:ext>
            </a:extLst>
          </xdr:cNvPr>
          <xdr:cNvCxnSpPr/>
        </xdr:nvCxnSpPr>
        <xdr:spPr>
          <a:xfrm>
            <a:off x="485776" y="40962263"/>
            <a:ext cx="0" cy="32813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" name="Straight Connector 624">
            <a:extLst>
              <a:ext uri="{FF2B5EF4-FFF2-40B4-BE49-F238E27FC236}">
                <a16:creationId xmlns:a16="http://schemas.microsoft.com/office/drawing/2014/main" id="{4EFFEB4B-0B28-4C1C-B7DA-A9EEF710E5E1}"/>
              </a:ext>
            </a:extLst>
          </xdr:cNvPr>
          <xdr:cNvCxnSpPr/>
        </xdr:nvCxnSpPr>
        <xdr:spPr>
          <a:xfrm flipH="1">
            <a:off x="442913" y="4099083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" name="Straight Connector 625">
            <a:extLst>
              <a:ext uri="{FF2B5EF4-FFF2-40B4-BE49-F238E27FC236}">
                <a16:creationId xmlns:a16="http://schemas.microsoft.com/office/drawing/2014/main" id="{6152F4EB-0CB4-4017-9EEC-D5059D77A98A}"/>
              </a:ext>
            </a:extLst>
          </xdr:cNvPr>
          <xdr:cNvCxnSpPr/>
        </xdr:nvCxnSpPr>
        <xdr:spPr>
          <a:xfrm flipH="1">
            <a:off x="442914" y="4413407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" name="Straight Connector 626">
            <a:extLst>
              <a:ext uri="{FF2B5EF4-FFF2-40B4-BE49-F238E27FC236}">
                <a16:creationId xmlns:a16="http://schemas.microsoft.com/office/drawing/2014/main" id="{A65D8970-1F6E-4093-B042-D2DFA2D8B611}"/>
              </a:ext>
            </a:extLst>
          </xdr:cNvPr>
          <xdr:cNvCxnSpPr/>
        </xdr:nvCxnSpPr>
        <xdr:spPr>
          <a:xfrm flipH="1">
            <a:off x="723900" y="42210036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Straight Connector 627">
            <a:extLst>
              <a:ext uri="{FF2B5EF4-FFF2-40B4-BE49-F238E27FC236}">
                <a16:creationId xmlns:a16="http://schemas.microsoft.com/office/drawing/2014/main" id="{33383DA6-28D8-4B52-BDC1-EFA347A3F7A5}"/>
              </a:ext>
            </a:extLst>
          </xdr:cNvPr>
          <xdr:cNvCxnSpPr/>
        </xdr:nvCxnSpPr>
        <xdr:spPr>
          <a:xfrm flipH="1">
            <a:off x="762000" y="421719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" name="Straight Connector 628">
            <a:extLst>
              <a:ext uri="{FF2B5EF4-FFF2-40B4-BE49-F238E27FC236}">
                <a16:creationId xmlns:a16="http://schemas.microsoft.com/office/drawing/2014/main" id="{15354BD5-409E-44D4-93BD-8A5F7945A22F}"/>
              </a:ext>
            </a:extLst>
          </xdr:cNvPr>
          <xdr:cNvCxnSpPr/>
        </xdr:nvCxnSpPr>
        <xdr:spPr>
          <a:xfrm>
            <a:off x="4695825" y="40957500"/>
            <a:ext cx="0" cy="32813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" name="Straight Connector 629">
            <a:extLst>
              <a:ext uri="{FF2B5EF4-FFF2-40B4-BE49-F238E27FC236}">
                <a16:creationId xmlns:a16="http://schemas.microsoft.com/office/drawing/2014/main" id="{46AC41B7-F837-4D20-98FF-4FE0DC9153FF}"/>
              </a:ext>
            </a:extLst>
          </xdr:cNvPr>
          <xdr:cNvCxnSpPr/>
        </xdr:nvCxnSpPr>
        <xdr:spPr>
          <a:xfrm>
            <a:off x="4414838" y="44176940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Straight Connector 630">
            <a:extLst>
              <a:ext uri="{FF2B5EF4-FFF2-40B4-BE49-F238E27FC236}">
                <a16:creationId xmlns:a16="http://schemas.microsoft.com/office/drawing/2014/main" id="{D37D3496-2970-47C1-8D20-0F9652688580}"/>
              </a:ext>
            </a:extLst>
          </xdr:cNvPr>
          <xdr:cNvCxnSpPr/>
        </xdr:nvCxnSpPr>
        <xdr:spPr>
          <a:xfrm>
            <a:off x="4410075" y="4103370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Straight Connector 631">
            <a:extLst>
              <a:ext uri="{FF2B5EF4-FFF2-40B4-BE49-F238E27FC236}">
                <a16:creationId xmlns:a16="http://schemas.microsoft.com/office/drawing/2014/main" id="{D5FAB158-DE4A-4D41-8EC3-E1783CDD9A0F}"/>
              </a:ext>
            </a:extLst>
          </xdr:cNvPr>
          <xdr:cNvCxnSpPr/>
        </xdr:nvCxnSpPr>
        <xdr:spPr>
          <a:xfrm flipH="1">
            <a:off x="4648200" y="4099560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Straight Connector 632">
            <a:extLst>
              <a:ext uri="{FF2B5EF4-FFF2-40B4-BE49-F238E27FC236}">
                <a16:creationId xmlns:a16="http://schemas.microsoft.com/office/drawing/2014/main" id="{F070DF36-005F-457D-8C57-EAB722E5E5C1}"/>
              </a:ext>
            </a:extLst>
          </xdr:cNvPr>
          <xdr:cNvCxnSpPr/>
        </xdr:nvCxnSpPr>
        <xdr:spPr>
          <a:xfrm flipH="1">
            <a:off x="4648201" y="4413407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Straight Connector 633">
            <a:extLst>
              <a:ext uri="{FF2B5EF4-FFF2-40B4-BE49-F238E27FC236}">
                <a16:creationId xmlns:a16="http://schemas.microsoft.com/office/drawing/2014/main" id="{4BDA5912-DA1F-4804-8D76-3656ED93DAB8}"/>
              </a:ext>
            </a:extLst>
          </xdr:cNvPr>
          <xdr:cNvCxnSpPr/>
        </xdr:nvCxnSpPr>
        <xdr:spPr>
          <a:xfrm>
            <a:off x="3638550" y="42605325"/>
            <a:ext cx="1128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" name="Straight Connector 634">
            <a:extLst>
              <a:ext uri="{FF2B5EF4-FFF2-40B4-BE49-F238E27FC236}">
                <a16:creationId xmlns:a16="http://schemas.microsoft.com/office/drawing/2014/main" id="{1867211F-A692-4443-89B4-A01B1122F41C}"/>
              </a:ext>
            </a:extLst>
          </xdr:cNvPr>
          <xdr:cNvCxnSpPr/>
        </xdr:nvCxnSpPr>
        <xdr:spPr>
          <a:xfrm flipH="1">
            <a:off x="4652964" y="425624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Straight Connector 635">
            <a:extLst>
              <a:ext uri="{FF2B5EF4-FFF2-40B4-BE49-F238E27FC236}">
                <a16:creationId xmlns:a16="http://schemas.microsoft.com/office/drawing/2014/main" id="{11F4CF93-E4A6-45B6-A61C-585EEB1E8CB6}"/>
              </a:ext>
            </a:extLst>
          </xdr:cNvPr>
          <xdr:cNvCxnSpPr/>
        </xdr:nvCxnSpPr>
        <xdr:spPr>
          <a:xfrm>
            <a:off x="3238500" y="42395775"/>
            <a:ext cx="0" cy="1843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Straight Connector 636">
            <a:extLst>
              <a:ext uri="{FF2B5EF4-FFF2-40B4-BE49-F238E27FC236}">
                <a16:creationId xmlns:a16="http://schemas.microsoft.com/office/drawing/2014/main" id="{1E01C516-86FF-41A8-84CD-50E8BE4A4BDE}"/>
              </a:ext>
            </a:extLst>
          </xdr:cNvPr>
          <xdr:cNvCxnSpPr/>
        </xdr:nvCxnSpPr>
        <xdr:spPr>
          <a:xfrm>
            <a:off x="1147763" y="43286363"/>
            <a:ext cx="1604962" cy="4202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Straight Connector 637">
            <a:extLst>
              <a:ext uri="{FF2B5EF4-FFF2-40B4-BE49-F238E27FC236}">
                <a16:creationId xmlns:a16="http://schemas.microsoft.com/office/drawing/2014/main" id="{B403E603-CCC9-4F8E-BBDF-1BAAA0DD4467}"/>
              </a:ext>
            </a:extLst>
          </xdr:cNvPr>
          <xdr:cNvCxnSpPr/>
        </xdr:nvCxnSpPr>
        <xdr:spPr>
          <a:xfrm flipH="1">
            <a:off x="3186112" y="4241482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Straight Connector 638">
            <a:extLst>
              <a:ext uri="{FF2B5EF4-FFF2-40B4-BE49-F238E27FC236}">
                <a16:creationId xmlns:a16="http://schemas.microsoft.com/office/drawing/2014/main" id="{03DC6711-1B56-4489-87F5-5A05CB7FEC20}"/>
              </a:ext>
            </a:extLst>
          </xdr:cNvPr>
          <xdr:cNvCxnSpPr/>
        </xdr:nvCxnSpPr>
        <xdr:spPr>
          <a:xfrm flipH="1">
            <a:off x="2581275" y="42171938"/>
            <a:ext cx="2428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Straight Connector 639">
            <a:extLst>
              <a:ext uri="{FF2B5EF4-FFF2-40B4-BE49-F238E27FC236}">
                <a16:creationId xmlns:a16="http://schemas.microsoft.com/office/drawing/2014/main" id="{AFB290B3-78B2-4404-843C-0F0940459031}"/>
              </a:ext>
            </a:extLst>
          </xdr:cNvPr>
          <xdr:cNvCxnSpPr/>
        </xdr:nvCxnSpPr>
        <xdr:spPr>
          <a:xfrm>
            <a:off x="2647955" y="42076684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" name="Straight Connector 640">
            <a:extLst>
              <a:ext uri="{FF2B5EF4-FFF2-40B4-BE49-F238E27FC236}">
                <a16:creationId xmlns:a16="http://schemas.microsoft.com/office/drawing/2014/main" id="{E1AA3708-40EE-4B4F-8D03-29A6D11ED69D}"/>
              </a:ext>
            </a:extLst>
          </xdr:cNvPr>
          <xdr:cNvCxnSpPr/>
        </xdr:nvCxnSpPr>
        <xdr:spPr>
          <a:xfrm flipH="1">
            <a:off x="2595568" y="42129072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" name="Straight Connector 641">
            <a:extLst>
              <a:ext uri="{FF2B5EF4-FFF2-40B4-BE49-F238E27FC236}">
                <a16:creationId xmlns:a16="http://schemas.microsoft.com/office/drawing/2014/main" id="{BCFD61D0-4650-481E-8D28-214C91D872DA}"/>
              </a:ext>
            </a:extLst>
          </xdr:cNvPr>
          <xdr:cNvCxnSpPr/>
        </xdr:nvCxnSpPr>
        <xdr:spPr>
          <a:xfrm flipH="1">
            <a:off x="2700338" y="42129075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Straight Connector 642">
            <a:extLst>
              <a:ext uri="{FF2B5EF4-FFF2-40B4-BE49-F238E27FC236}">
                <a16:creationId xmlns:a16="http://schemas.microsoft.com/office/drawing/2014/main" id="{EDBCC171-B150-4568-86A8-41750A3B5E5C}"/>
              </a:ext>
            </a:extLst>
          </xdr:cNvPr>
          <xdr:cNvCxnSpPr/>
        </xdr:nvCxnSpPr>
        <xdr:spPr>
          <a:xfrm flipV="1">
            <a:off x="1857375" y="42586275"/>
            <a:ext cx="0" cy="1666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" name="Straight Connector 643">
            <a:extLst>
              <a:ext uri="{FF2B5EF4-FFF2-40B4-BE49-F238E27FC236}">
                <a16:creationId xmlns:a16="http://schemas.microsoft.com/office/drawing/2014/main" id="{606F71BA-BC96-4323-968B-A50CC2062383}"/>
              </a:ext>
            </a:extLst>
          </xdr:cNvPr>
          <xdr:cNvCxnSpPr/>
        </xdr:nvCxnSpPr>
        <xdr:spPr>
          <a:xfrm flipV="1">
            <a:off x="3648075" y="42614851"/>
            <a:ext cx="0" cy="1552574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5" name="Arc 644">
            <a:extLst>
              <a:ext uri="{FF2B5EF4-FFF2-40B4-BE49-F238E27FC236}">
                <a16:creationId xmlns:a16="http://schemas.microsoft.com/office/drawing/2014/main" id="{3898A975-4C9F-4960-87BE-0368FD323C02}"/>
              </a:ext>
            </a:extLst>
          </xdr:cNvPr>
          <xdr:cNvSpPr/>
        </xdr:nvSpPr>
        <xdr:spPr>
          <a:xfrm rot="16200000">
            <a:off x="1857375" y="41729025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46" name="Straight Connector 645">
            <a:extLst>
              <a:ext uri="{FF2B5EF4-FFF2-40B4-BE49-F238E27FC236}">
                <a16:creationId xmlns:a16="http://schemas.microsoft.com/office/drawing/2014/main" id="{DC5AE54A-C401-4990-8797-C48E872C53D9}"/>
              </a:ext>
            </a:extLst>
          </xdr:cNvPr>
          <xdr:cNvCxnSpPr/>
        </xdr:nvCxnSpPr>
        <xdr:spPr>
          <a:xfrm>
            <a:off x="1057275" y="44748450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" name="Straight Connector 646">
            <a:extLst>
              <a:ext uri="{FF2B5EF4-FFF2-40B4-BE49-F238E27FC236}">
                <a16:creationId xmlns:a16="http://schemas.microsoft.com/office/drawing/2014/main" id="{C55F5ADA-86D7-4871-B4B8-AC3028E67756}"/>
              </a:ext>
            </a:extLst>
          </xdr:cNvPr>
          <xdr:cNvCxnSpPr/>
        </xdr:nvCxnSpPr>
        <xdr:spPr>
          <a:xfrm flipH="1">
            <a:off x="1814513" y="4470558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" name="Straight Connector 647">
            <a:extLst>
              <a:ext uri="{FF2B5EF4-FFF2-40B4-BE49-F238E27FC236}">
                <a16:creationId xmlns:a16="http://schemas.microsoft.com/office/drawing/2014/main" id="{C9585F7E-3C4E-41DE-90EE-3C97FBC07EFC}"/>
              </a:ext>
            </a:extLst>
          </xdr:cNvPr>
          <xdr:cNvCxnSpPr/>
        </xdr:nvCxnSpPr>
        <xdr:spPr>
          <a:xfrm flipH="1">
            <a:off x="4329114" y="444245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Straight Connector 648">
            <a:extLst>
              <a:ext uri="{FF2B5EF4-FFF2-40B4-BE49-F238E27FC236}">
                <a16:creationId xmlns:a16="http://schemas.microsoft.com/office/drawing/2014/main" id="{740C0FB4-D083-4CCD-B825-97B8D2913FCA}"/>
              </a:ext>
            </a:extLst>
          </xdr:cNvPr>
          <xdr:cNvCxnSpPr/>
        </xdr:nvCxnSpPr>
        <xdr:spPr>
          <a:xfrm>
            <a:off x="2181237" y="40676513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Straight Connector 649">
            <a:extLst>
              <a:ext uri="{FF2B5EF4-FFF2-40B4-BE49-F238E27FC236}">
                <a16:creationId xmlns:a16="http://schemas.microsoft.com/office/drawing/2014/main" id="{932E8528-0E6F-408D-B3B3-EBA9E45E64AF}"/>
              </a:ext>
            </a:extLst>
          </xdr:cNvPr>
          <xdr:cNvCxnSpPr/>
        </xdr:nvCxnSpPr>
        <xdr:spPr>
          <a:xfrm flipH="1">
            <a:off x="2138376" y="407003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Straight Connector 650">
            <a:extLst>
              <a:ext uri="{FF2B5EF4-FFF2-40B4-BE49-F238E27FC236}">
                <a16:creationId xmlns:a16="http://schemas.microsoft.com/office/drawing/2014/main" id="{9B635B90-61AF-44D5-AF4B-10D575440F30}"/>
              </a:ext>
            </a:extLst>
          </xdr:cNvPr>
          <xdr:cNvCxnSpPr/>
        </xdr:nvCxnSpPr>
        <xdr:spPr>
          <a:xfrm>
            <a:off x="3319474" y="4068603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Straight Connector 651">
            <a:extLst>
              <a:ext uri="{FF2B5EF4-FFF2-40B4-BE49-F238E27FC236}">
                <a16:creationId xmlns:a16="http://schemas.microsoft.com/office/drawing/2014/main" id="{68396FB1-FDB4-4118-8A61-9AE0AC05C6EA}"/>
              </a:ext>
            </a:extLst>
          </xdr:cNvPr>
          <xdr:cNvCxnSpPr/>
        </xdr:nvCxnSpPr>
        <xdr:spPr>
          <a:xfrm flipH="1">
            <a:off x="3271850" y="4070984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Straight Connector 652">
            <a:extLst>
              <a:ext uri="{FF2B5EF4-FFF2-40B4-BE49-F238E27FC236}">
                <a16:creationId xmlns:a16="http://schemas.microsoft.com/office/drawing/2014/main" id="{CEB1A65D-2529-46AC-A511-8F1D85143EFB}"/>
              </a:ext>
            </a:extLst>
          </xdr:cNvPr>
          <xdr:cNvCxnSpPr/>
        </xdr:nvCxnSpPr>
        <xdr:spPr>
          <a:xfrm>
            <a:off x="1066799" y="45319949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" name="Straight Connector 653">
            <a:extLst>
              <a:ext uri="{FF2B5EF4-FFF2-40B4-BE49-F238E27FC236}">
                <a16:creationId xmlns:a16="http://schemas.microsoft.com/office/drawing/2014/main" id="{C2C6B67C-6013-4032-B1CF-777B2B44BD0F}"/>
              </a:ext>
            </a:extLst>
          </xdr:cNvPr>
          <xdr:cNvCxnSpPr/>
        </xdr:nvCxnSpPr>
        <xdr:spPr>
          <a:xfrm flipH="1">
            <a:off x="1090613" y="452818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Straight Connector 654">
            <a:extLst>
              <a:ext uri="{FF2B5EF4-FFF2-40B4-BE49-F238E27FC236}">
                <a16:creationId xmlns:a16="http://schemas.microsoft.com/office/drawing/2014/main" id="{D5EC3BE9-A016-48AD-A109-DCEEA7D953DB}"/>
              </a:ext>
            </a:extLst>
          </xdr:cNvPr>
          <xdr:cNvCxnSpPr/>
        </xdr:nvCxnSpPr>
        <xdr:spPr>
          <a:xfrm flipH="1">
            <a:off x="4329113" y="452818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" name="Straight Connector 655">
            <a:extLst>
              <a:ext uri="{FF2B5EF4-FFF2-40B4-BE49-F238E27FC236}">
                <a16:creationId xmlns:a16="http://schemas.microsoft.com/office/drawing/2014/main" id="{2AC06115-1DEF-4712-BFC3-3AFB47FAB5AF}"/>
              </a:ext>
            </a:extLst>
          </xdr:cNvPr>
          <xdr:cNvCxnSpPr/>
        </xdr:nvCxnSpPr>
        <xdr:spPr>
          <a:xfrm flipH="1">
            <a:off x="1090612" y="4471034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" name="Straight Connector 656">
            <a:extLst>
              <a:ext uri="{FF2B5EF4-FFF2-40B4-BE49-F238E27FC236}">
                <a16:creationId xmlns:a16="http://schemas.microsoft.com/office/drawing/2014/main" id="{AEEA0E14-90C8-4FB6-99D4-E3D70B997A35}"/>
              </a:ext>
            </a:extLst>
          </xdr:cNvPr>
          <xdr:cNvCxnSpPr/>
        </xdr:nvCxnSpPr>
        <xdr:spPr>
          <a:xfrm flipH="1">
            <a:off x="4329112" y="4471034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Straight Connector 657">
            <a:extLst>
              <a:ext uri="{FF2B5EF4-FFF2-40B4-BE49-F238E27FC236}">
                <a16:creationId xmlns:a16="http://schemas.microsoft.com/office/drawing/2014/main" id="{ACFAB2E2-F54C-4E94-8781-2036B61F0B17}"/>
              </a:ext>
            </a:extLst>
          </xdr:cNvPr>
          <xdr:cNvCxnSpPr/>
        </xdr:nvCxnSpPr>
        <xdr:spPr>
          <a:xfrm flipH="1">
            <a:off x="2709862" y="4471035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" name="Straight Connector 658">
            <a:extLst>
              <a:ext uri="{FF2B5EF4-FFF2-40B4-BE49-F238E27FC236}">
                <a16:creationId xmlns:a16="http://schemas.microsoft.com/office/drawing/2014/main" id="{4E8F60B7-1581-4C59-914C-009C3864531E}"/>
              </a:ext>
            </a:extLst>
          </xdr:cNvPr>
          <xdr:cNvCxnSpPr/>
        </xdr:nvCxnSpPr>
        <xdr:spPr>
          <a:xfrm>
            <a:off x="2762250" y="428053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" name="Straight Connector 659">
            <a:extLst>
              <a:ext uri="{FF2B5EF4-FFF2-40B4-BE49-F238E27FC236}">
                <a16:creationId xmlns:a16="http://schemas.microsoft.com/office/drawing/2014/main" id="{2614072A-B60D-43E5-85E5-58BB09405354}"/>
              </a:ext>
            </a:extLst>
          </xdr:cNvPr>
          <xdr:cNvCxnSpPr/>
        </xdr:nvCxnSpPr>
        <xdr:spPr>
          <a:xfrm>
            <a:off x="2938462" y="42462450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61" name="Oval 660">
            <a:extLst>
              <a:ext uri="{FF2B5EF4-FFF2-40B4-BE49-F238E27FC236}">
                <a16:creationId xmlns:a16="http://schemas.microsoft.com/office/drawing/2014/main" id="{E0B910AD-A8F2-4240-8B5D-4FB80AE0D9C4}"/>
              </a:ext>
            </a:extLst>
          </xdr:cNvPr>
          <xdr:cNvSpPr/>
        </xdr:nvSpPr>
        <xdr:spPr>
          <a:xfrm>
            <a:off x="2729866" y="4257770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62" name="Straight Connector 661">
            <a:extLst>
              <a:ext uri="{FF2B5EF4-FFF2-40B4-BE49-F238E27FC236}">
                <a16:creationId xmlns:a16="http://schemas.microsoft.com/office/drawing/2014/main" id="{4FDE2165-6B1B-4DB7-97C0-F587D6CD7D8B}"/>
              </a:ext>
            </a:extLst>
          </xdr:cNvPr>
          <xdr:cNvCxnSpPr/>
        </xdr:nvCxnSpPr>
        <xdr:spPr>
          <a:xfrm>
            <a:off x="2195513" y="42605325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" name="Straight Connector 662">
            <a:extLst>
              <a:ext uri="{FF2B5EF4-FFF2-40B4-BE49-F238E27FC236}">
                <a16:creationId xmlns:a16="http://schemas.microsoft.com/office/drawing/2014/main" id="{CEE2BCDE-E9FE-4628-8C28-F66DA5F24658}"/>
              </a:ext>
            </a:extLst>
          </xdr:cNvPr>
          <xdr:cNvCxnSpPr/>
        </xdr:nvCxnSpPr>
        <xdr:spPr>
          <a:xfrm flipV="1">
            <a:off x="2266950" y="42405300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" name="Straight Connector 663">
            <a:extLst>
              <a:ext uri="{FF2B5EF4-FFF2-40B4-BE49-F238E27FC236}">
                <a16:creationId xmlns:a16="http://schemas.microsoft.com/office/drawing/2014/main" id="{009FE132-8343-476F-80D1-432D547AD24A}"/>
              </a:ext>
            </a:extLst>
          </xdr:cNvPr>
          <xdr:cNvCxnSpPr/>
        </xdr:nvCxnSpPr>
        <xdr:spPr>
          <a:xfrm flipH="1">
            <a:off x="2190750" y="42462450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" name="Straight Connector 664">
            <a:extLst>
              <a:ext uri="{FF2B5EF4-FFF2-40B4-BE49-F238E27FC236}">
                <a16:creationId xmlns:a16="http://schemas.microsoft.com/office/drawing/2014/main" id="{9D9156F5-443B-45EB-9F52-2D7A4F593875}"/>
              </a:ext>
            </a:extLst>
          </xdr:cNvPr>
          <xdr:cNvCxnSpPr/>
        </xdr:nvCxnSpPr>
        <xdr:spPr>
          <a:xfrm flipH="1">
            <a:off x="2224088" y="42429113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" name="Straight Connector 665">
            <a:extLst>
              <a:ext uri="{FF2B5EF4-FFF2-40B4-BE49-F238E27FC236}">
                <a16:creationId xmlns:a16="http://schemas.microsoft.com/office/drawing/2014/main" id="{A676C75E-E9BB-4EA5-832D-F2B311D8229D}"/>
              </a:ext>
            </a:extLst>
          </xdr:cNvPr>
          <xdr:cNvCxnSpPr/>
        </xdr:nvCxnSpPr>
        <xdr:spPr>
          <a:xfrm flipH="1">
            <a:off x="2228850" y="42567225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Straight Connector 666">
            <a:extLst>
              <a:ext uri="{FF2B5EF4-FFF2-40B4-BE49-F238E27FC236}">
                <a16:creationId xmlns:a16="http://schemas.microsoft.com/office/drawing/2014/main" id="{B9F5C903-A130-47FE-82C2-D19E8D3CA46B}"/>
              </a:ext>
            </a:extLst>
          </xdr:cNvPr>
          <xdr:cNvCxnSpPr/>
        </xdr:nvCxnSpPr>
        <xdr:spPr>
          <a:xfrm flipH="1">
            <a:off x="3190874" y="427624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" name="Straight Connector 667">
            <a:extLst>
              <a:ext uri="{FF2B5EF4-FFF2-40B4-BE49-F238E27FC236}">
                <a16:creationId xmlns:a16="http://schemas.microsoft.com/office/drawing/2014/main" id="{F7D6F8B2-EF48-4917-AE0E-B75AEE7A26C2}"/>
              </a:ext>
            </a:extLst>
          </xdr:cNvPr>
          <xdr:cNvCxnSpPr/>
        </xdr:nvCxnSpPr>
        <xdr:spPr>
          <a:xfrm>
            <a:off x="2767012" y="4302442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" name="Straight Connector 668">
            <a:extLst>
              <a:ext uri="{FF2B5EF4-FFF2-40B4-BE49-F238E27FC236}">
                <a16:creationId xmlns:a16="http://schemas.microsoft.com/office/drawing/2014/main" id="{83FBC950-72A7-4AEB-9AD4-96A417EFD369}"/>
              </a:ext>
            </a:extLst>
          </xdr:cNvPr>
          <xdr:cNvCxnSpPr/>
        </xdr:nvCxnSpPr>
        <xdr:spPr>
          <a:xfrm flipH="1">
            <a:off x="3195636" y="4298156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" name="Straight Connector 669">
            <a:extLst>
              <a:ext uri="{FF2B5EF4-FFF2-40B4-BE49-F238E27FC236}">
                <a16:creationId xmlns:a16="http://schemas.microsoft.com/office/drawing/2014/main" id="{7940DCC3-A527-4B45-9E26-147BA058E827}"/>
              </a:ext>
            </a:extLst>
          </xdr:cNvPr>
          <xdr:cNvCxnSpPr/>
        </xdr:nvCxnSpPr>
        <xdr:spPr>
          <a:xfrm>
            <a:off x="2762249" y="433339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" name="Straight Connector 670">
            <a:extLst>
              <a:ext uri="{FF2B5EF4-FFF2-40B4-BE49-F238E27FC236}">
                <a16:creationId xmlns:a16="http://schemas.microsoft.com/office/drawing/2014/main" id="{E0341C76-97EC-472D-AF4A-0CBAEE91B012}"/>
              </a:ext>
            </a:extLst>
          </xdr:cNvPr>
          <xdr:cNvCxnSpPr/>
        </xdr:nvCxnSpPr>
        <xdr:spPr>
          <a:xfrm flipH="1">
            <a:off x="3190873" y="432911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" name="Straight Connector 671">
            <a:extLst>
              <a:ext uri="{FF2B5EF4-FFF2-40B4-BE49-F238E27FC236}">
                <a16:creationId xmlns:a16="http://schemas.microsoft.com/office/drawing/2014/main" id="{242194D3-81BA-4B6E-8508-07745E616A87}"/>
              </a:ext>
            </a:extLst>
          </xdr:cNvPr>
          <xdr:cNvCxnSpPr/>
        </xdr:nvCxnSpPr>
        <xdr:spPr>
          <a:xfrm>
            <a:off x="2762248" y="437149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" name="Straight Connector 672">
            <a:extLst>
              <a:ext uri="{FF2B5EF4-FFF2-40B4-BE49-F238E27FC236}">
                <a16:creationId xmlns:a16="http://schemas.microsoft.com/office/drawing/2014/main" id="{3FE962AF-F914-4B11-ADD2-24DF5DF6FB64}"/>
              </a:ext>
            </a:extLst>
          </xdr:cNvPr>
          <xdr:cNvCxnSpPr/>
        </xdr:nvCxnSpPr>
        <xdr:spPr>
          <a:xfrm flipH="1">
            <a:off x="3190872" y="436721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" name="Straight Connector 673">
            <a:extLst>
              <a:ext uri="{FF2B5EF4-FFF2-40B4-BE49-F238E27FC236}">
                <a16:creationId xmlns:a16="http://schemas.microsoft.com/office/drawing/2014/main" id="{DD7C232F-9E0D-483D-8872-BA647776809A}"/>
              </a:ext>
            </a:extLst>
          </xdr:cNvPr>
          <xdr:cNvCxnSpPr/>
        </xdr:nvCxnSpPr>
        <xdr:spPr>
          <a:xfrm>
            <a:off x="2767010" y="4392929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" name="Straight Connector 674">
            <a:extLst>
              <a:ext uri="{FF2B5EF4-FFF2-40B4-BE49-F238E27FC236}">
                <a16:creationId xmlns:a16="http://schemas.microsoft.com/office/drawing/2014/main" id="{0BCDEC4B-D15B-4E28-AF74-E963603D7C03}"/>
              </a:ext>
            </a:extLst>
          </xdr:cNvPr>
          <xdr:cNvCxnSpPr/>
        </xdr:nvCxnSpPr>
        <xdr:spPr>
          <a:xfrm flipH="1">
            <a:off x="3195634" y="4388643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" name="Straight Connector 677">
            <a:extLst>
              <a:ext uri="{FF2B5EF4-FFF2-40B4-BE49-F238E27FC236}">
                <a16:creationId xmlns:a16="http://schemas.microsoft.com/office/drawing/2014/main" id="{BFF9FC74-8C9D-4021-8FBF-235D1F4FB61E}"/>
              </a:ext>
            </a:extLst>
          </xdr:cNvPr>
          <xdr:cNvCxnSpPr/>
        </xdr:nvCxnSpPr>
        <xdr:spPr>
          <a:xfrm>
            <a:off x="2762248" y="4346733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" name="Straight Connector 678">
            <a:extLst>
              <a:ext uri="{FF2B5EF4-FFF2-40B4-BE49-F238E27FC236}">
                <a16:creationId xmlns:a16="http://schemas.microsoft.com/office/drawing/2014/main" id="{37E68F73-B1B7-468E-9A24-F442BF0D1318}"/>
              </a:ext>
            </a:extLst>
          </xdr:cNvPr>
          <xdr:cNvCxnSpPr/>
        </xdr:nvCxnSpPr>
        <xdr:spPr>
          <a:xfrm flipH="1">
            <a:off x="3190872" y="434244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" name="Straight Connector 679">
            <a:extLst>
              <a:ext uri="{FF2B5EF4-FFF2-40B4-BE49-F238E27FC236}">
                <a16:creationId xmlns:a16="http://schemas.microsoft.com/office/drawing/2014/main" id="{8B88E5BE-9453-4A2B-A15A-1F1A66DF6D1C}"/>
              </a:ext>
            </a:extLst>
          </xdr:cNvPr>
          <xdr:cNvCxnSpPr/>
        </xdr:nvCxnSpPr>
        <xdr:spPr>
          <a:xfrm>
            <a:off x="2762248" y="4317682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" name="Straight Connector 680">
            <a:extLst>
              <a:ext uri="{FF2B5EF4-FFF2-40B4-BE49-F238E27FC236}">
                <a16:creationId xmlns:a16="http://schemas.microsoft.com/office/drawing/2014/main" id="{7829E26D-AC97-4BF2-BA85-C9E12422BE88}"/>
              </a:ext>
            </a:extLst>
          </xdr:cNvPr>
          <xdr:cNvCxnSpPr/>
        </xdr:nvCxnSpPr>
        <xdr:spPr>
          <a:xfrm flipH="1">
            <a:off x="3190872" y="4313396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2" name="Oval 681">
            <a:extLst>
              <a:ext uri="{FF2B5EF4-FFF2-40B4-BE49-F238E27FC236}">
                <a16:creationId xmlns:a16="http://schemas.microsoft.com/office/drawing/2014/main" id="{D95234CF-87A5-46FC-815E-3D637B475BB3}"/>
              </a:ext>
            </a:extLst>
          </xdr:cNvPr>
          <xdr:cNvSpPr/>
        </xdr:nvSpPr>
        <xdr:spPr>
          <a:xfrm>
            <a:off x="1833563" y="42576750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83" name="Oval 682">
            <a:extLst>
              <a:ext uri="{FF2B5EF4-FFF2-40B4-BE49-F238E27FC236}">
                <a16:creationId xmlns:a16="http://schemas.microsoft.com/office/drawing/2014/main" id="{B01224D2-C5B1-4D50-9684-EF2087F1BB64}"/>
              </a:ext>
            </a:extLst>
          </xdr:cNvPr>
          <xdr:cNvSpPr/>
        </xdr:nvSpPr>
        <xdr:spPr>
          <a:xfrm>
            <a:off x="3624263" y="4258151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84" name="Straight Connector 683">
            <a:extLst>
              <a:ext uri="{FF2B5EF4-FFF2-40B4-BE49-F238E27FC236}">
                <a16:creationId xmlns:a16="http://schemas.microsoft.com/office/drawing/2014/main" id="{32C0BC90-9902-4537-9C56-13A5030E7893}"/>
              </a:ext>
            </a:extLst>
          </xdr:cNvPr>
          <xdr:cNvCxnSpPr/>
        </xdr:nvCxnSpPr>
        <xdr:spPr>
          <a:xfrm>
            <a:off x="4781550" y="4246245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Connector 684">
            <a:extLst>
              <a:ext uri="{FF2B5EF4-FFF2-40B4-BE49-F238E27FC236}">
                <a16:creationId xmlns:a16="http://schemas.microsoft.com/office/drawing/2014/main" id="{46EDC10C-EEC0-4479-B0F4-ECDA7AEBF877}"/>
              </a:ext>
            </a:extLst>
          </xdr:cNvPr>
          <xdr:cNvCxnSpPr/>
        </xdr:nvCxnSpPr>
        <xdr:spPr>
          <a:xfrm>
            <a:off x="5019675" y="40957500"/>
            <a:ext cx="0" cy="3290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Straight Connector 685">
            <a:extLst>
              <a:ext uri="{FF2B5EF4-FFF2-40B4-BE49-F238E27FC236}">
                <a16:creationId xmlns:a16="http://schemas.microsoft.com/office/drawing/2014/main" id="{725ED23D-A0AE-4CFD-B21D-28CDEA7873C8}"/>
              </a:ext>
            </a:extLst>
          </xdr:cNvPr>
          <xdr:cNvCxnSpPr/>
        </xdr:nvCxnSpPr>
        <xdr:spPr>
          <a:xfrm flipH="1">
            <a:off x="4981576" y="44129315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" name="Straight Connector 686">
            <a:extLst>
              <a:ext uri="{FF2B5EF4-FFF2-40B4-BE49-F238E27FC236}">
                <a16:creationId xmlns:a16="http://schemas.microsoft.com/office/drawing/2014/main" id="{09EB4B18-CBF1-437E-B9F0-4BD610809403}"/>
              </a:ext>
            </a:extLst>
          </xdr:cNvPr>
          <xdr:cNvCxnSpPr/>
        </xdr:nvCxnSpPr>
        <xdr:spPr>
          <a:xfrm flipH="1">
            <a:off x="4976814" y="4241958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Straight Connector 687">
            <a:extLst>
              <a:ext uri="{FF2B5EF4-FFF2-40B4-BE49-F238E27FC236}">
                <a16:creationId xmlns:a16="http://schemas.microsoft.com/office/drawing/2014/main" id="{C4CC499C-6E07-4BF0-9A5C-BF3C72533FCC}"/>
              </a:ext>
            </a:extLst>
          </xdr:cNvPr>
          <xdr:cNvCxnSpPr/>
        </xdr:nvCxnSpPr>
        <xdr:spPr>
          <a:xfrm>
            <a:off x="3509962" y="42462450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Straight Connector 688">
            <a:extLst>
              <a:ext uri="{FF2B5EF4-FFF2-40B4-BE49-F238E27FC236}">
                <a16:creationId xmlns:a16="http://schemas.microsoft.com/office/drawing/2014/main" id="{A56D6EC1-F2A6-4A0C-B754-142D95A1FF2E}"/>
              </a:ext>
            </a:extLst>
          </xdr:cNvPr>
          <xdr:cNvCxnSpPr/>
        </xdr:nvCxnSpPr>
        <xdr:spPr>
          <a:xfrm>
            <a:off x="4410075" y="42462450"/>
            <a:ext cx="2571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Connector 689">
            <a:extLst>
              <a:ext uri="{FF2B5EF4-FFF2-40B4-BE49-F238E27FC236}">
                <a16:creationId xmlns:a16="http://schemas.microsoft.com/office/drawing/2014/main" id="{6FE4AAC2-1DF1-4D92-A0F3-B0DB52B4B8D6}"/>
              </a:ext>
            </a:extLst>
          </xdr:cNvPr>
          <xdr:cNvCxnSpPr/>
        </xdr:nvCxnSpPr>
        <xdr:spPr>
          <a:xfrm flipH="1">
            <a:off x="4976813" y="40986075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31</xdr:col>
      <xdr:colOff>52387</xdr:colOff>
      <xdr:row>462</xdr:row>
      <xdr:rowOff>47625</xdr:rowOff>
    </xdr:from>
    <xdr:to>
      <xdr:col>54</xdr:col>
      <xdr:colOff>128588</xdr:colOff>
      <xdr:row>480</xdr:row>
      <xdr:rowOff>9525</xdr:rowOff>
    </xdr:to>
    <xdr:pic>
      <xdr:nvPicPr>
        <xdr:cNvPr id="692" name="Picture 691">
          <a:extLst>
            <a:ext uri="{FF2B5EF4-FFF2-40B4-BE49-F238E27FC236}">
              <a16:creationId xmlns:a16="http://schemas.microsoft.com/office/drawing/2014/main" id="{900FA764-B9B6-41F5-9D54-935FCC819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18" t="38439" r="54523" b="31517"/>
        <a:stretch/>
      </xdr:blipFill>
      <xdr:spPr bwMode="auto">
        <a:xfrm>
          <a:off x="5072062" y="41224200"/>
          <a:ext cx="3800476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76200</xdr:colOff>
      <xdr:row>501</xdr:row>
      <xdr:rowOff>47625</xdr:rowOff>
    </xdr:from>
    <xdr:to>
      <xdr:col>57</xdr:col>
      <xdr:colOff>142875</xdr:colOff>
      <xdr:row>502</xdr:row>
      <xdr:rowOff>66675</xdr:rowOff>
    </xdr:to>
    <xdr:cxnSp macro="">
      <xdr:nvCxnSpPr>
        <xdr:cNvPr id="694" name="Straight Arrow Connector 693">
          <a:extLst>
            <a:ext uri="{FF2B5EF4-FFF2-40B4-BE49-F238E27FC236}">
              <a16:creationId xmlns:a16="http://schemas.microsoft.com/office/drawing/2014/main" id="{C3C7B84F-F5FA-4BC7-A7CE-E54679E46891}"/>
            </a:ext>
          </a:extLst>
        </xdr:cNvPr>
        <xdr:cNvCxnSpPr/>
      </xdr:nvCxnSpPr>
      <xdr:spPr>
        <a:xfrm flipH="1" flipV="1">
          <a:off x="8982075" y="20450175"/>
          <a:ext cx="3905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85725</xdr:colOff>
      <xdr:row>523</xdr:row>
      <xdr:rowOff>66675</xdr:rowOff>
    </xdr:from>
    <xdr:to>
      <xdr:col>47</xdr:col>
      <xdr:colOff>8164</xdr:colOff>
      <xdr:row>529</xdr:row>
      <xdr:rowOff>1360</xdr:rowOff>
    </xdr:to>
    <xdr:grpSp>
      <xdr:nvGrpSpPr>
        <xdr:cNvPr id="1128" name="Group 1127">
          <a:extLst>
            <a:ext uri="{FF2B5EF4-FFF2-40B4-BE49-F238E27FC236}">
              <a16:creationId xmlns:a16="http://schemas.microsoft.com/office/drawing/2014/main" id="{066D3515-A8A8-4D45-BF7A-10CAD0B73231}"/>
            </a:ext>
          </a:extLst>
        </xdr:cNvPr>
        <xdr:cNvGrpSpPr/>
      </xdr:nvGrpSpPr>
      <xdr:grpSpPr>
        <a:xfrm>
          <a:off x="5915025" y="80724375"/>
          <a:ext cx="1703614" cy="791935"/>
          <a:chOff x="6076950" y="10163175"/>
          <a:chExt cx="1703614" cy="791935"/>
        </a:xfrm>
      </xdr:grpSpPr>
      <xdr:sp macro="" textlink="">
        <xdr:nvSpPr>
          <xdr:cNvPr id="1129" name="Freeform: Shape 1128">
            <a:extLst>
              <a:ext uri="{FF2B5EF4-FFF2-40B4-BE49-F238E27FC236}">
                <a16:creationId xmlns:a16="http://schemas.microsoft.com/office/drawing/2014/main" id="{2683826D-1AC7-46CC-AC2E-C9FBD91E426D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0" name="Freeform: Shape 1129">
            <a:extLst>
              <a:ext uri="{FF2B5EF4-FFF2-40B4-BE49-F238E27FC236}">
                <a16:creationId xmlns:a16="http://schemas.microsoft.com/office/drawing/2014/main" id="{AB274D92-74B6-44D7-91B9-2B20E14AC93F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1" name="Freeform: Shape 1130">
            <a:extLst>
              <a:ext uri="{FF2B5EF4-FFF2-40B4-BE49-F238E27FC236}">
                <a16:creationId xmlns:a16="http://schemas.microsoft.com/office/drawing/2014/main" id="{48AF84FA-00C6-4522-8F3C-7C2323DD6F6F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132" name="Straight Connector 1131">
            <a:extLst>
              <a:ext uri="{FF2B5EF4-FFF2-40B4-BE49-F238E27FC236}">
                <a16:creationId xmlns:a16="http://schemas.microsoft.com/office/drawing/2014/main" id="{A513EE19-EE7E-48D8-AF5A-8FC42F38EA75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3" name="Straight Connector 1132">
            <a:extLst>
              <a:ext uri="{FF2B5EF4-FFF2-40B4-BE49-F238E27FC236}">
                <a16:creationId xmlns:a16="http://schemas.microsoft.com/office/drawing/2014/main" id="{F16AD473-362A-4086-BD08-A20436A53002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4" name="Straight Connector 1133">
            <a:extLst>
              <a:ext uri="{FF2B5EF4-FFF2-40B4-BE49-F238E27FC236}">
                <a16:creationId xmlns:a16="http://schemas.microsoft.com/office/drawing/2014/main" id="{665BAD82-42C2-41CA-8BF3-E6CF1F0B06FB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5" name="Straight Connector 1134">
            <a:extLst>
              <a:ext uri="{FF2B5EF4-FFF2-40B4-BE49-F238E27FC236}">
                <a16:creationId xmlns:a16="http://schemas.microsoft.com/office/drawing/2014/main" id="{F25DB96A-80AD-448A-83E6-30F5C59DA5B5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6" name="Straight Connector 1135">
            <a:extLst>
              <a:ext uri="{FF2B5EF4-FFF2-40B4-BE49-F238E27FC236}">
                <a16:creationId xmlns:a16="http://schemas.microsoft.com/office/drawing/2014/main" id="{0C6B8909-FA5E-46C2-993C-22DC50FDE476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7" name="Straight Connector 1136">
            <a:extLst>
              <a:ext uri="{FF2B5EF4-FFF2-40B4-BE49-F238E27FC236}">
                <a16:creationId xmlns:a16="http://schemas.microsoft.com/office/drawing/2014/main" id="{F60BEA55-D46E-400C-8267-4A7435D10C3E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8" name="Straight Connector 1137">
            <a:extLst>
              <a:ext uri="{FF2B5EF4-FFF2-40B4-BE49-F238E27FC236}">
                <a16:creationId xmlns:a16="http://schemas.microsoft.com/office/drawing/2014/main" id="{5B9EA122-BB3D-4014-9832-7A4901BEC9D8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9" name="Straight Connector 1138">
            <a:extLst>
              <a:ext uri="{FF2B5EF4-FFF2-40B4-BE49-F238E27FC236}">
                <a16:creationId xmlns:a16="http://schemas.microsoft.com/office/drawing/2014/main" id="{0D2EF0AA-7F88-40D8-9777-936FCE512F3E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0" name="Straight Connector 1139">
            <a:extLst>
              <a:ext uri="{FF2B5EF4-FFF2-40B4-BE49-F238E27FC236}">
                <a16:creationId xmlns:a16="http://schemas.microsoft.com/office/drawing/2014/main" id="{E114D72D-D6DE-49E0-934A-92EEB431F9B9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1" name="Straight Connector 1140">
            <a:extLst>
              <a:ext uri="{FF2B5EF4-FFF2-40B4-BE49-F238E27FC236}">
                <a16:creationId xmlns:a16="http://schemas.microsoft.com/office/drawing/2014/main" id="{666380B6-4A02-4DE2-A2FD-931F38EF2C2C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42" name="Freeform: Shape 1141">
            <a:extLst>
              <a:ext uri="{FF2B5EF4-FFF2-40B4-BE49-F238E27FC236}">
                <a16:creationId xmlns:a16="http://schemas.microsoft.com/office/drawing/2014/main" id="{96998D6E-B07C-4FA2-93D0-5EB16BF0B71B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495</xdr:row>
      <xdr:rowOff>61913</xdr:rowOff>
    </xdr:from>
    <xdr:to>
      <xdr:col>31</xdr:col>
      <xdr:colOff>90488</xdr:colOff>
      <xdr:row>529</xdr:row>
      <xdr:rowOff>85725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8CDD5264-E179-446C-83B6-D0D96A4A4065}"/>
            </a:ext>
          </a:extLst>
        </xdr:cNvPr>
        <xdr:cNvGrpSpPr/>
      </xdr:nvGrpSpPr>
      <xdr:grpSpPr>
        <a:xfrm>
          <a:off x="395288" y="76719113"/>
          <a:ext cx="4714875" cy="4881562"/>
          <a:chOff x="395288" y="19607213"/>
          <a:chExt cx="4714875" cy="4881562"/>
        </a:xfrm>
      </xdr:grpSpPr>
      <xdr:cxnSp macro="">
        <xdr:nvCxnSpPr>
          <xdr:cNvPr id="1069" name="Straight Connector 1068">
            <a:extLst>
              <a:ext uri="{FF2B5EF4-FFF2-40B4-BE49-F238E27FC236}">
                <a16:creationId xmlns:a16="http://schemas.microsoft.com/office/drawing/2014/main" id="{0CC313F3-BBB9-486C-BEF7-D078C9B36DA7}"/>
              </a:ext>
            </a:extLst>
          </xdr:cNvPr>
          <xdr:cNvCxnSpPr/>
        </xdr:nvCxnSpPr>
        <xdr:spPr>
          <a:xfrm>
            <a:off x="3238500" y="21621750"/>
            <a:ext cx="0" cy="17002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Straight Connector 696">
            <a:extLst>
              <a:ext uri="{FF2B5EF4-FFF2-40B4-BE49-F238E27FC236}">
                <a16:creationId xmlns:a16="http://schemas.microsoft.com/office/drawing/2014/main" id="{B90047F2-5508-4A1B-ADF6-54DA986F4E82}"/>
              </a:ext>
            </a:extLst>
          </xdr:cNvPr>
          <xdr:cNvCxnSpPr/>
        </xdr:nvCxnSpPr>
        <xdr:spPr>
          <a:xfrm flipH="1">
            <a:off x="2757488" y="20264438"/>
            <a:ext cx="319087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" name="Straight Connector 697">
            <a:extLst>
              <a:ext uri="{FF2B5EF4-FFF2-40B4-BE49-F238E27FC236}">
                <a16:creationId xmlns:a16="http://schemas.microsoft.com/office/drawing/2014/main" id="{2D30E172-0D05-484F-9045-3F83480EEA99}"/>
              </a:ext>
            </a:extLst>
          </xdr:cNvPr>
          <xdr:cNvCxnSpPr/>
        </xdr:nvCxnSpPr>
        <xdr:spPr>
          <a:xfrm>
            <a:off x="1666875" y="20264438"/>
            <a:ext cx="1081088" cy="1980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" name="Straight Connector 698">
            <a:extLst>
              <a:ext uri="{FF2B5EF4-FFF2-40B4-BE49-F238E27FC236}">
                <a16:creationId xmlns:a16="http://schemas.microsoft.com/office/drawing/2014/main" id="{1670CCA8-3271-4617-B998-C13F3A246BE2}"/>
              </a:ext>
            </a:extLst>
          </xdr:cNvPr>
          <xdr:cNvCxnSpPr/>
        </xdr:nvCxnSpPr>
        <xdr:spPr>
          <a:xfrm>
            <a:off x="1133475" y="21078825"/>
            <a:ext cx="1624013" cy="1481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Straight Connector 699">
            <a:extLst>
              <a:ext uri="{FF2B5EF4-FFF2-40B4-BE49-F238E27FC236}">
                <a16:creationId xmlns:a16="http://schemas.microsoft.com/office/drawing/2014/main" id="{9369E842-F0AA-45AF-9283-9D83901DE214}"/>
              </a:ext>
            </a:extLst>
          </xdr:cNvPr>
          <xdr:cNvCxnSpPr/>
        </xdr:nvCxnSpPr>
        <xdr:spPr>
          <a:xfrm>
            <a:off x="1138238" y="21864638"/>
            <a:ext cx="1614487" cy="8322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" name="Straight Connector 700">
            <a:extLst>
              <a:ext uri="{FF2B5EF4-FFF2-40B4-BE49-F238E27FC236}">
                <a16:creationId xmlns:a16="http://schemas.microsoft.com/office/drawing/2014/main" id="{D1629582-391A-42F8-9FA3-8EED3713CB13}"/>
              </a:ext>
            </a:extLst>
          </xdr:cNvPr>
          <xdr:cNvCxnSpPr/>
        </xdr:nvCxnSpPr>
        <xdr:spPr>
          <a:xfrm>
            <a:off x="1133475" y="22836188"/>
            <a:ext cx="1614488" cy="3190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" name="Straight Connector 703">
            <a:extLst>
              <a:ext uri="{FF2B5EF4-FFF2-40B4-BE49-F238E27FC236}">
                <a16:creationId xmlns:a16="http://schemas.microsoft.com/office/drawing/2014/main" id="{2D4275FD-89A8-43A5-AB65-D34E67B0CB7E}"/>
              </a:ext>
            </a:extLst>
          </xdr:cNvPr>
          <xdr:cNvCxnSpPr/>
        </xdr:nvCxnSpPr>
        <xdr:spPr>
          <a:xfrm flipV="1">
            <a:off x="2747963" y="22383750"/>
            <a:ext cx="1624012" cy="55301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" name="Straight Connector 704">
            <a:extLst>
              <a:ext uri="{FF2B5EF4-FFF2-40B4-BE49-F238E27FC236}">
                <a16:creationId xmlns:a16="http://schemas.microsoft.com/office/drawing/2014/main" id="{34DAF8AF-6C78-4B4C-853E-A406C5CFE9D8}"/>
              </a:ext>
            </a:extLst>
          </xdr:cNvPr>
          <xdr:cNvCxnSpPr/>
        </xdr:nvCxnSpPr>
        <xdr:spPr>
          <a:xfrm flipV="1">
            <a:off x="2752725" y="21855113"/>
            <a:ext cx="1624013" cy="8408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Straight Connector 705">
            <a:extLst>
              <a:ext uri="{FF2B5EF4-FFF2-40B4-BE49-F238E27FC236}">
                <a16:creationId xmlns:a16="http://schemas.microsoft.com/office/drawing/2014/main" id="{5985D896-2023-4E2C-A8DF-0F6DCE296101}"/>
              </a:ext>
            </a:extLst>
          </xdr:cNvPr>
          <xdr:cNvCxnSpPr/>
        </xdr:nvCxnSpPr>
        <xdr:spPr>
          <a:xfrm flipV="1">
            <a:off x="2757488" y="21097875"/>
            <a:ext cx="1619250" cy="14577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" name="Straight Connector 706">
            <a:extLst>
              <a:ext uri="{FF2B5EF4-FFF2-40B4-BE49-F238E27FC236}">
                <a16:creationId xmlns:a16="http://schemas.microsoft.com/office/drawing/2014/main" id="{80759B59-4D08-435D-8491-C166B35934B3}"/>
              </a:ext>
            </a:extLst>
          </xdr:cNvPr>
          <xdr:cNvCxnSpPr/>
        </xdr:nvCxnSpPr>
        <xdr:spPr>
          <a:xfrm flipH="1">
            <a:off x="2757299" y="20259675"/>
            <a:ext cx="1076514" cy="1990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" name="Straight Connector 707">
            <a:extLst>
              <a:ext uri="{FF2B5EF4-FFF2-40B4-BE49-F238E27FC236}">
                <a16:creationId xmlns:a16="http://schemas.microsoft.com/office/drawing/2014/main" id="{1C86254A-6B5A-4ACE-B3D7-1E3DF5E601B3}"/>
              </a:ext>
            </a:extLst>
          </xdr:cNvPr>
          <xdr:cNvCxnSpPr/>
        </xdr:nvCxnSpPr>
        <xdr:spPr>
          <a:xfrm flipV="1">
            <a:off x="2824163" y="20264438"/>
            <a:ext cx="252412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" name="Straight Connector 708">
            <a:extLst>
              <a:ext uri="{FF2B5EF4-FFF2-40B4-BE49-F238E27FC236}">
                <a16:creationId xmlns:a16="http://schemas.microsoft.com/office/drawing/2014/main" id="{83516C6B-0600-425E-88D2-F4535EA31EBB}"/>
              </a:ext>
            </a:extLst>
          </xdr:cNvPr>
          <xdr:cNvCxnSpPr/>
        </xdr:nvCxnSpPr>
        <xdr:spPr>
          <a:xfrm flipV="1">
            <a:off x="2757488" y="22836188"/>
            <a:ext cx="1609725" cy="319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" name="Straight Connector 709">
            <a:extLst>
              <a:ext uri="{FF2B5EF4-FFF2-40B4-BE49-F238E27FC236}">
                <a16:creationId xmlns:a16="http://schemas.microsoft.com/office/drawing/2014/main" id="{5192D6D1-E9D8-46E0-84E7-EDC654D108C7}"/>
              </a:ext>
            </a:extLst>
          </xdr:cNvPr>
          <xdr:cNvCxnSpPr/>
        </xdr:nvCxnSpPr>
        <xdr:spPr>
          <a:xfrm flipV="1">
            <a:off x="2752725" y="20121563"/>
            <a:ext cx="0" cy="407670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" name="Straight Connector 710">
            <a:extLst>
              <a:ext uri="{FF2B5EF4-FFF2-40B4-BE49-F238E27FC236}">
                <a16:creationId xmlns:a16="http://schemas.microsoft.com/office/drawing/2014/main" id="{D28AB1C4-8F6E-4462-91E1-FF81B839A9EB}"/>
              </a:ext>
            </a:extLst>
          </xdr:cNvPr>
          <xdr:cNvCxnSpPr/>
        </xdr:nvCxnSpPr>
        <xdr:spPr>
          <a:xfrm>
            <a:off x="2424113" y="20273963"/>
            <a:ext cx="333375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Straight Connector 711">
            <a:extLst>
              <a:ext uri="{FF2B5EF4-FFF2-40B4-BE49-F238E27FC236}">
                <a16:creationId xmlns:a16="http://schemas.microsoft.com/office/drawing/2014/main" id="{7FF1757A-DA6F-478B-801E-2E9FABCDE3A4}"/>
              </a:ext>
            </a:extLst>
          </xdr:cNvPr>
          <xdr:cNvCxnSpPr/>
        </xdr:nvCxnSpPr>
        <xdr:spPr>
          <a:xfrm>
            <a:off x="1143000" y="20397788"/>
            <a:ext cx="1614488" cy="2014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" name="Straight Connector 712">
            <a:extLst>
              <a:ext uri="{FF2B5EF4-FFF2-40B4-BE49-F238E27FC236}">
                <a16:creationId xmlns:a16="http://schemas.microsoft.com/office/drawing/2014/main" id="{6A0B39BF-1001-4269-A5CA-EAFD308BB07C}"/>
              </a:ext>
            </a:extLst>
          </xdr:cNvPr>
          <xdr:cNvCxnSpPr/>
        </xdr:nvCxnSpPr>
        <xdr:spPr>
          <a:xfrm flipV="1">
            <a:off x="2762250" y="20407313"/>
            <a:ext cx="1619250" cy="2000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" name="Straight Connector 713">
            <a:extLst>
              <a:ext uri="{FF2B5EF4-FFF2-40B4-BE49-F238E27FC236}">
                <a16:creationId xmlns:a16="http://schemas.microsoft.com/office/drawing/2014/main" id="{70C993E3-4E7B-430D-8734-CFB92B1D01D5}"/>
              </a:ext>
            </a:extLst>
          </xdr:cNvPr>
          <xdr:cNvCxnSpPr/>
        </xdr:nvCxnSpPr>
        <xdr:spPr>
          <a:xfrm flipH="1" flipV="1">
            <a:off x="2419350" y="20254913"/>
            <a:ext cx="266701" cy="14335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" name="Straight Connector 714">
            <a:extLst>
              <a:ext uri="{FF2B5EF4-FFF2-40B4-BE49-F238E27FC236}">
                <a16:creationId xmlns:a16="http://schemas.microsoft.com/office/drawing/2014/main" id="{838EECFE-3E5F-4DDF-9981-F2519CBE4998}"/>
              </a:ext>
            </a:extLst>
          </xdr:cNvPr>
          <xdr:cNvCxnSpPr/>
        </xdr:nvCxnSpPr>
        <xdr:spPr>
          <a:xfrm flipH="1" flipV="1">
            <a:off x="1671639" y="20264439"/>
            <a:ext cx="928686" cy="170497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" name="Straight Connector 715">
            <a:extLst>
              <a:ext uri="{FF2B5EF4-FFF2-40B4-BE49-F238E27FC236}">
                <a16:creationId xmlns:a16="http://schemas.microsoft.com/office/drawing/2014/main" id="{2572F957-D6D0-406E-8BF0-D4E0B6B51E0D}"/>
              </a:ext>
            </a:extLst>
          </xdr:cNvPr>
          <xdr:cNvCxnSpPr/>
        </xdr:nvCxnSpPr>
        <xdr:spPr>
          <a:xfrm flipH="1">
            <a:off x="2909888" y="20264438"/>
            <a:ext cx="923925" cy="1704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" name="Straight Connector 716">
            <a:extLst>
              <a:ext uri="{FF2B5EF4-FFF2-40B4-BE49-F238E27FC236}">
                <a16:creationId xmlns:a16="http://schemas.microsoft.com/office/drawing/2014/main" id="{811B1702-37DC-43B2-8494-7690B7F91D43}"/>
              </a:ext>
            </a:extLst>
          </xdr:cNvPr>
          <xdr:cNvCxnSpPr/>
        </xdr:nvCxnSpPr>
        <xdr:spPr>
          <a:xfrm flipH="1" flipV="1">
            <a:off x="1133476" y="20402550"/>
            <a:ext cx="1457324" cy="18049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" name="Straight Connector 717">
            <a:extLst>
              <a:ext uri="{FF2B5EF4-FFF2-40B4-BE49-F238E27FC236}">
                <a16:creationId xmlns:a16="http://schemas.microsoft.com/office/drawing/2014/main" id="{4895DAC0-0AC8-4B73-83D4-DDC3715C6CE2}"/>
              </a:ext>
            </a:extLst>
          </xdr:cNvPr>
          <xdr:cNvCxnSpPr/>
        </xdr:nvCxnSpPr>
        <xdr:spPr>
          <a:xfrm flipH="1">
            <a:off x="2919413" y="20407313"/>
            <a:ext cx="1457326" cy="18049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" name="Straight Connector 718">
            <a:extLst>
              <a:ext uri="{FF2B5EF4-FFF2-40B4-BE49-F238E27FC236}">
                <a16:creationId xmlns:a16="http://schemas.microsoft.com/office/drawing/2014/main" id="{6625F98F-1ACA-417A-A612-E9BA49729B1F}"/>
              </a:ext>
            </a:extLst>
          </xdr:cNvPr>
          <xdr:cNvCxnSpPr/>
        </xdr:nvCxnSpPr>
        <xdr:spPr>
          <a:xfrm flipH="1" flipV="1">
            <a:off x="1133475" y="21088350"/>
            <a:ext cx="1457325" cy="13144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" name="Straight Connector 719">
            <a:extLst>
              <a:ext uri="{FF2B5EF4-FFF2-40B4-BE49-F238E27FC236}">
                <a16:creationId xmlns:a16="http://schemas.microsoft.com/office/drawing/2014/main" id="{C1F8056E-4D00-4665-B62D-CE0E43190ED4}"/>
              </a:ext>
            </a:extLst>
          </xdr:cNvPr>
          <xdr:cNvCxnSpPr/>
        </xdr:nvCxnSpPr>
        <xdr:spPr>
          <a:xfrm flipH="1">
            <a:off x="2914650" y="21093113"/>
            <a:ext cx="1462088" cy="1323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" name="Straight Connector 720">
            <a:extLst>
              <a:ext uri="{FF2B5EF4-FFF2-40B4-BE49-F238E27FC236}">
                <a16:creationId xmlns:a16="http://schemas.microsoft.com/office/drawing/2014/main" id="{2E7FD581-AE5F-401F-8095-8E27A58786C4}"/>
              </a:ext>
            </a:extLst>
          </xdr:cNvPr>
          <xdr:cNvCxnSpPr/>
        </xdr:nvCxnSpPr>
        <xdr:spPr>
          <a:xfrm flipH="1" flipV="1">
            <a:off x="1138239" y="21869401"/>
            <a:ext cx="1452561" cy="74294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" name="Straight Connector 721">
            <a:extLst>
              <a:ext uri="{FF2B5EF4-FFF2-40B4-BE49-F238E27FC236}">
                <a16:creationId xmlns:a16="http://schemas.microsoft.com/office/drawing/2014/main" id="{93F6DD47-26D0-4847-8FAB-AEDB927D6B82}"/>
              </a:ext>
            </a:extLst>
          </xdr:cNvPr>
          <xdr:cNvCxnSpPr/>
        </xdr:nvCxnSpPr>
        <xdr:spPr>
          <a:xfrm flipH="1">
            <a:off x="2914650" y="21859875"/>
            <a:ext cx="1462088" cy="7524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" name="Straight Connector 722">
            <a:extLst>
              <a:ext uri="{FF2B5EF4-FFF2-40B4-BE49-F238E27FC236}">
                <a16:creationId xmlns:a16="http://schemas.microsoft.com/office/drawing/2014/main" id="{0ABBD13A-B55C-40A5-ADF8-543649EEA653}"/>
              </a:ext>
            </a:extLst>
          </xdr:cNvPr>
          <xdr:cNvCxnSpPr/>
        </xdr:nvCxnSpPr>
        <xdr:spPr>
          <a:xfrm flipH="1" flipV="1">
            <a:off x="1143001" y="22383751"/>
            <a:ext cx="1447799" cy="49529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4" name="Straight Connector 723">
            <a:extLst>
              <a:ext uri="{FF2B5EF4-FFF2-40B4-BE49-F238E27FC236}">
                <a16:creationId xmlns:a16="http://schemas.microsoft.com/office/drawing/2014/main" id="{B12A7331-4E41-42F8-8939-3A34CE6ED6B7}"/>
              </a:ext>
            </a:extLst>
          </xdr:cNvPr>
          <xdr:cNvCxnSpPr/>
        </xdr:nvCxnSpPr>
        <xdr:spPr>
          <a:xfrm flipH="1">
            <a:off x="2914650" y="22383750"/>
            <a:ext cx="1457326" cy="5000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" name="Straight Connector 724">
            <a:extLst>
              <a:ext uri="{FF2B5EF4-FFF2-40B4-BE49-F238E27FC236}">
                <a16:creationId xmlns:a16="http://schemas.microsoft.com/office/drawing/2014/main" id="{7F66A9A6-7B69-4661-AC08-C35EF0E0C5CD}"/>
              </a:ext>
            </a:extLst>
          </xdr:cNvPr>
          <xdr:cNvCxnSpPr/>
        </xdr:nvCxnSpPr>
        <xdr:spPr>
          <a:xfrm flipH="1" flipV="1">
            <a:off x="1133476" y="22831425"/>
            <a:ext cx="1452562" cy="2952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" name="Straight Connector 725">
            <a:extLst>
              <a:ext uri="{FF2B5EF4-FFF2-40B4-BE49-F238E27FC236}">
                <a16:creationId xmlns:a16="http://schemas.microsoft.com/office/drawing/2014/main" id="{B6DC16E6-62BA-4DEF-9713-0AE67615A1A1}"/>
              </a:ext>
            </a:extLst>
          </xdr:cNvPr>
          <xdr:cNvCxnSpPr/>
        </xdr:nvCxnSpPr>
        <xdr:spPr>
          <a:xfrm flipH="1">
            <a:off x="2914650" y="22840950"/>
            <a:ext cx="1462089" cy="285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" name="Straight Connector 728">
            <a:extLst>
              <a:ext uri="{FF2B5EF4-FFF2-40B4-BE49-F238E27FC236}">
                <a16:creationId xmlns:a16="http://schemas.microsoft.com/office/drawing/2014/main" id="{45F84EF5-89D9-42C9-B223-FD54863F8796}"/>
              </a:ext>
            </a:extLst>
          </xdr:cNvPr>
          <xdr:cNvCxnSpPr/>
        </xdr:nvCxnSpPr>
        <xdr:spPr>
          <a:xfrm>
            <a:off x="1066799" y="24117300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" name="Straight Connector 729">
            <a:extLst>
              <a:ext uri="{FF2B5EF4-FFF2-40B4-BE49-F238E27FC236}">
                <a16:creationId xmlns:a16="http://schemas.microsoft.com/office/drawing/2014/main" id="{C2332056-6500-4A74-AF10-91351051ABAA}"/>
              </a:ext>
            </a:extLst>
          </xdr:cNvPr>
          <xdr:cNvCxnSpPr/>
        </xdr:nvCxnSpPr>
        <xdr:spPr>
          <a:xfrm>
            <a:off x="1133475" y="23307675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" name="Straight Connector 730">
            <a:extLst>
              <a:ext uri="{FF2B5EF4-FFF2-40B4-BE49-F238E27FC236}">
                <a16:creationId xmlns:a16="http://schemas.microsoft.com/office/drawing/2014/main" id="{03451F8F-A90B-4477-9A24-2BBA9D2C3983}"/>
              </a:ext>
            </a:extLst>
          </xdr:cNvPr>
          <xdr:cNvCxnSpPr/>
        </xdr:nvCxnSpPr>
        <xdr:spPr>
          <a:xfrm flipH="1">
            <a:off x="1090613" y="240791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" name="Straight Connector 731">
            <a:extLst>
              <a:ext uri="{FF2B5EF4-FFF2-40B4-BE49-F238E27FC236}">
                <a16:creationId xmlns:a16="http://schemas.microsoft.com/office/drawing/2014/main" id="{48904CAF-70FA-440E-B214-9375FF15895F}"/>
              </a:ext>
            </a:extLst>
          </xdr:cNvPr>
          <xdr:cNvCxnSpPr/>
        </xdr:nvCxnSpPr>
        <xdr:spPr>
          <a:xfrm>
            <a:off x="4371975" y="23307675"/>
            <a:ext cx="0" cy="1181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Straight Connector 732">
            <a:extLst>
              <a:ext uri="{FF2B5EF4-FFF2-40B4-BE49-F238E27FC236}">
                <a16:creationId xmlns:a16="http://schemas.microsoft.com/office/drawing/2014/main" id="{EF4C15A7-E6B8-4153-9475-68EF2E0C8822}"/>
              </a:ext>
            </a:extLst>
          </xdr:cNvPr>
          <xdr:cNvCxnSpPr/>
        </xdr:nvCxnSpPr>
        <xdr:spPr>
          <a:xfrm flipH="1">
            <a:off x="4329113" y="240791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Straight Connector 733">
            <a:extLst>
              <a:ext uri="{FF2B5EF4-FFF2-40B4-BE49-F238E27FC236}">
                <a16:creationId xmlns:a16="http://schemas.microsoft.com/office/drawing/2014/main" id="{B4F99B83-FBAB-497E-98D3-CF6313142198}"/>
              </a:ext>
            </a:extLst>
          </xdr:cNvPr>
          <xdr:cNvCxnSpPr/>
        </xdr:nvCxnSpPr>
        <xdr:spPr>
          <a:xfrm flipH="1">
            <a:off x="2709862" y="2407920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" name="Straight Connector 734">
            <a:extLst>
              <a:ext uri="{FF2B5EF4-FFF2-40B4-BE49-F238E27FC236}">
                <a16:creationId xmlns:a16="http://schemas.microsoft.com/office/drawing/2014/main" id="{E497324F-8CB1-43DD-B931-02F1FB3B4845}"/>
              </a:ext>
            </a:extLst>
          </xdr:cNvPr>
          <xdr:cNvCxnSpPr/>
        </xdr:nvCxnSpPr>
        <xdr:spPr>
          <a:xfrm>
            <a:off x="1066800" y="23545800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Straight Connector 735">
            <a:extLst>
              <a:ext uri="{FF2B5EF4-FFF2-40B4-BE49-F238E27FC236}">
                <a16:creationId xmlns:a16="http://schemas.microsoft.com/office/drawing/2014/main" id="{796819EF-E76B-418D-BAD5-69AFD1B6D41D}"/>
              </a:ext>
            </a:extLst>
          </xdr:cNvPr>
          <xdr:cNvCxnSpPr/>
        </xdr:nvCxnSpPr>
        <xdr:spPr>
          <a:xfrm>
            <a:off x="2590800" y="2331720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" name="Straight Connector 736">
            <a:extLst>
              <a:ext uri="{FF2B5EF4-FFF2-40B4-BE49-F238E27FC236}">
                <a16:creationId xmlns:a16="http://schemas.microsoft.com/office/drawing/2014/main" id="{21DB44B3-2E95-4C47-9CD3-C762BE13857A}"/>
              </a:ext>
            </a:extLst>
          </xdr:cNvPr>
          <xdr:cNvCxnSpPr/>
        </xdr:nvCxnSpPr>
        <xdr:spPr>
          <a:xfrm flipH="1">
            <a:off x="2543175" y="23502937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Straight Connector 737">
            <a:extLst>
              <a:ext uri="{FF2B5EF4-FFF2-40B4-BE49-F238E27FC236}">
                <a16:creationId xmlns:a16="http://schemas.microsoft.com/office/drawing/2014/main" id="{EBB13ED6-B251-4CDB-97A5-54F0381E56BC}"/>
              </a:ext>
            </a:extLst>
          </xdr:cNvPr>
          <xdr:cNvCxnSpPr/>
        </xdr:nvCxnSpPr>
        <xdr:spPr>
          <a:xfrm>
            <a:off x="2914650" y="23317199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Straight Connector 738">
            <a:extLst>
              <a:ext uri="{FF2B5EF4-FFF2-40B4-BE49-F238E27FC236}">
                <a16:creationId xmlns:a16="http://schemas.microsoft.com/office/drawing/2014/main" id="{1F0A6CEF-24C1-4848-9FA5-F9176F23FA60}"/>
              </a:ext>
            </a:extLst>
          </xdr:cNvPr>
          <xdr:cNvCxnSpPr/>
        </xdr:nvCxnSpPr>
        <xdr:spPr>
          <a:xfrm flipH="1">
            <a:off x="2867025" y="2350293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" name="Straight Connector 740">
            <a:extLst>
              <a:ext uri="{FF2B5EF4-FFF2-40B4-BE49-F238E27FC236}">
                <a16:creationId xmlns:a16="http://schemas.microsoft.com/office/drawing/2014/main" id="{1E036090-07E0-4D35-8CFF-E937F8B858D7}"/>
              </a:ext>
            </a:extLst>
          </xdr:cNvPr>
          <xdr:cNvCxnSpPr/>
        </xdr:nvCxnSpPr>
        <xdr:spPr>
          <a:xfrm>
            <a:off x="1819275" y="23169562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Straight Connector 741">
            <a:extLst>
              <a:ext uri="{FF2B5EF4-FFF2-40B4-BE49-F238E27FC236}">
                <a16:creationId xmlns:a16="http://schemas.microsoft.com/office/drawing/2014/main" id="{8F054509-BDA2-4AF2-BAF0-6E8238CC370A}"/>
              </a:ext>
            </a:extLst>
          </xdr:cNvPr>
          <xdr:cNvCxnSpPr/>
        </xdr:nvCxnSpPr>
        <xdr:spPr>
          <a:xfrm>
            <a:off x="1890712" y="23164799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" name="Straight Connector 742">
            <a:extLst>
              <a:ext uri="{FF2B5EF4-FFF2-40B4-BE49-F238E27FC236}">
                <a16:creationId xmlns:a16="http://schemas.microsoft.com/office/drawing/2014/main" id="{C92C91FD-57A1-46D2-81C6-8A391DC38F21}"/>
              </a:ext>
            </a:extLst>
          </xdr:cNvPr>
          <xdr:cNvCxnSpPr/>
        </xdr:nvCxnSpPr>
        <xdr:spPr>
          <a:xfrm flipH="1">
            <a:off x="1090613" y="23507692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Straight Connector 744">
            <a:extLst>
              <a:ext uri="{FF2B5EF4-FFF2-40B4-BE49-F238E27FC236}">
                <a16:creationId xmlns:a16="http://schemas.microsoft.com/office/drawing/2014/main" id="{5C0D4B21-F609-40D4-85BA-63F6235C30F7}"/>
              </a:ext>
            </a:extLst>
          </xdr:cNvPr>
          <xdr:cNvCxnSpPr/>
        </xdr:nvCxnSpPr>
        <xdr:spPr>
          <a:xfrm>
            <a:off x="1857375" y="2368867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" name="Straight Connector 745">
            <a:extLst>
              <a:ext uri="{FF2B5EF4-FFF2-40B4-BE49-F238E27FC236}">
                <a16:creationId xmlns:a16="http://schemas.microsoft.com/office/drawing/2014/main" id="{5C9F0243-9503-4BA1-A4FF-2587FC76AB1C}"/>
              </a:ext>
            </a:extLst>
          </xdr:cNvPr>
          <xdr:cNvCxnSpPr/>
        </xdr:nvCxnSpPr>
        <xdr:spPr>
          <a:xfrm>
            <a:off x="3648075" y="2357913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" name="Straight Connector 749">
            <a:extLst>
              <a:ext uri="{FF2B5EF4-FFF2-40B4-BE49-F238E27FC236}">
                <a16:creationId xmlns:a16="http://schemas.microsoft.com/office/drawing/2014/main" id="{3B266046-9CEE-4E65-916D-5615BFB86AE8}"/>
              </a:ext>
            </a:extLst>
          </xdr:cNvPr>
          <xdr:cNvCxnSpPr/>
        </xdr:nvCxnSpPr>
        <xdr:spPr>
          <a:xfrm flipH="1">
            <a:off x="3605212" y="2379345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" name="Straight Connector 752">
            <a:extLst>
              <a:ext uri="{FF2B5EF4-FFF2-40B4-BE49-F238E27FC236}">
                <a16:creationId xmlns:a16="http://schemas.microsoft.com/office/drawing/2014/main" id="{25FDC222-D761-4706-8BB9-FC4AB798555C}"/>
              </a:ext>
            </a:extLst>
          </xdr:cNvPr>
          <xdr:cNvCxnSpPr/>
        </xdr:nvCxnSpPr>
        <xdr:spPr>
          <a:xfrm flipV="1">
            <a:off x="1133475" y="19621500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" name="Straight Connector 755">
            <a:extLst>
              <a:ext uri="{FF2B5EF4-FFF2-40B4-BE49-F238E27FC236}">
                <a16:creationId xmlns:a16="http://schemas.microsoft.com/office/drawing/2014/main" id="{F1E2ADF7-9A74-4B38-909C-5C54ED2958F8}"/>
              </a:ext>
            </a:extLst>
          </xdr:cNvPr>
          <xdr:cNvCxnSpPr/>
        </xdr:nvCxnSpPr>
        <xdr:spPr>
          <a:xfrm>
            <a:off x="1062038" y="1997392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" name="Straight Connector 758">
            <a:extLst>
              <a:ext uri="{FF2B5EF4-FFF2-40B4-BE49-F238E27FC236}">
                <a16:creationId xmlns:a16="http://schemas.microsoft.com/office/drawing/2014/main" id="{7FBF3557-425F-4BB9-A12F-25552EA5D3D2}"/>
              </a:ext>
            </a:extLst>
          </xdr:cNvPr>
          <xdr:cNvCxnSpPr/>
        </xdr:nvCxnSpPr>
        <xdr:spPr>
          <a:xfrm flipH="1">
            <a:off x="1090607" y="199405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" name="Straight Connector 767">
            <a:extLst>
              <a:ext uri="{FF2B5EF4-FFF2-40B4-BE49-F238E27FC236}">
                <a16:creationId xmlns:a16="http://schemas.microsoft.com/office/drawing/2014/main" id="{A556C2BF-6B11-4E64-A4CD-52A65F74380B}"/>
              </a:ext>
            </a:extLst>
          </xdr:cNvPr>
          <xdr:cNvCxnSpPr/>
        </xdr:nvCxnSpPr>
        <xdr:spPr>
          <a:xfrm>
            <a:off x="2752726" y="19607213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" name="Straight Connector 770">
            <a:extLst>
              <a:ext uri="{FF2B5EF4-FFF2-40B4-BE49-F238E27FC236}">
                <a16:creationId xmlns:a16="http://schemas.microsoft.com/office/drawing/2014/main" id="{F8907198-74A4-4FAC-92D9-365D0F76DB6C}"/>
              </a:ext>
            </a:extLst>
          </xdr:cNvPr>
          <xdr:cNvCxnSpPr/>
        </xdr:nvCxnSpPr>
        <xdr:spPr>
          <a:xfrm flipV="1">
            <a:off x="4371975" y="19616737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" name="Straight Connector 771">
            <a:extLst>
              <a:ext uri="{FF2B5EF4-FFF2-40B4-BE49-F238E27FC236}">
                <a16:creationId xmlns:a16="http://schemas.microsoft.com/office/drawing/2014/main" id="{33BAC5EE-77D1-4F75-909B-A61B16597CB6}"/>
              </a:ext>
            </a:extLst>
          </xdr:cNvPr>
          <xdr:cNvCxnSpPr/>
        </xdr:nvCxnSpPr>
        <xdr:spPr>
          <a:xfrm flipH="1">
            <a:off x="4329113" y="199310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" name="Straight Connector 772">
            <a:extLst>
              <a:ext uri="{FF2B5EF4-FFF2-40B4-BE49-F238E27FC236}">
                <a16:creationId xmlns:a16="http://schemas.microsoft.com/office/drawing/2014/main" id="{FBF2693B-0663-4C57-A8C4-0291B282EA01}"/>
              </a:ext>
            </a:extLst>
          </xdr:cNvPr>
          <xdr:cNvCxnSpPr/>
        </xdr:nvCxnSpPr>
        <xdr:spPr>
          <a:xfrm>
            <a:off x="1057275" y="1968817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" name="Straight Connector 773">
            <a:extLst>
              <a:ext uri="{FF2B5EF4-FFF2-40B4-BE49-F238E27FC236}">
                <a16:creationId xmlns:a16="http://schemas.microsoft.com/office/drawing/2014/main" id="{284A180B-DCCA-4008-9C7D-EB360A7CC336}"/>
              </a:ext>
            </a:extLst>
          </xdr:cNvPr>
          <xdr:cNvCxnSpPr/>
        </xdr:nvCxnSpPr>
        <xdr:spPr>
          <a:xfrm flipH="1">
            <a:off x="1085850" y="196500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" name="Straight Connector 774">
            <a:extLst>
              <a:ext uri="{FF2B5EF4-FFF2-40B4-BE49-F238E27FC236}">
                <a16:creationId xmlns:a16="http://schemas.microsoft.com/office/drawing/2014/main" id="{5D2B8BD6-69FF-4305-AD1B-1D096BDDFD25}"/>
              </a:ext>
            </a:extLst>
          </xdr:cNvPr>
          <xdr:cNvCxnSpPr/>
        </xdr:nvCxnSpPr>
        <xdr:spPr>
          <a:xfrm flipH="1">
            <a:off x="4324350" y="196453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" name="Straight Connector 775">
            <a:extLst>
              <a:ext uri="{FF2B5EF4-FFF2-40B4-BE49-F238E27FC236}">
                <a16:creationId xmlns:a16="http://schemas.microsoft.com/office/drawing/2014/main" id="{71427A3C-60A1-4B4B-8B39-9131D8C0B195}"/>
              </a:ext>
            </a:extLst>
          </xdr:cNvPr>
          <xdr:cNvCxnSpPr/>
        </xdr:nvCxnSpPr>
        <xdr:spPr>
          <a:xfrm flipH="1">
            <a:off x="2705101" y="1964531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" name="Straight Connector 776">
            <a:extLst>
              <a:ext uri="{FF2B5EF4-FFF2-40B4-BE49-F238E27FC236}">
                <a16:creationId xmlns:a16="http://schemas.microsoft.com/office/drawing/2014/main" id="{67494AC6-24F2-4884-9173-3F5A61DC9A63}"/>
              </a:ext>
            </a:extLst>
          </xdr:cNvPr>
          <xdr:cNvCxnSpPr/>
        </xdr:nvCxnSpPr>
        <xdr:spPr>
          <a:xfrm flipH="1">
            <a:off x="2705101" y="199358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Straight Connector 777">
            <a:extLst>
              <a:ext uri="{FF2B5EF4-FFF2-40B4-BE49-F238E27FC236}">
                <a16:creationId xmlns:a16="http://schemas.microsoft.com/office/drawing/2014/main" id="{517BBB4E-5770-489F-BA81-AD59A3EFF53B}"/>
              </a:ext>
            </a:extLst>
          </xdr:cNvPr>
          <xdr:cNvCxnSpPr/>
        </xdr:nvCxnSpPr>
        <xdr:spPr>
          <a:xfrm flipH="1">
            <a:off x="409575" y="2025967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" name="Straight Connector 778">
            <a:extLst>
              <a:ext uri="{FF2B5EF4-FFF2-40B4-BE49-F238E27FC236}">
                <a16:creationId xmlns:a16="http://schemas.microsoft.com/office/drawing/2014/main" id="{CCBF78E7-0955-43AB-8D3E-24417C81FE8A}"/>
              </a:ext>
            </a:extLst>
          </xdr:cNvPr>
          <xdr:cNvCxnSpPr/>
        </xdr:nvCxnSpPr>
        <xdr:spPr>
          <a:xfrm>
            <a:off x="809626" y="20193000"/>
            <a:ext cx="0" cy="3143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" name="Straight Connector 779">
            <a:extLst>
              <a:ext uri="{FF2B5EF4-FFF2-40B4-BE49-F238E27FC236}">
                <a16:creationId xmlns:a16="http://schemas.microsoft.com/office/drawing/2014/main" id="{65C1E0D9-E8F3-41FC-8831-C06578CC1B20}"/>
              </a:ext>
            </a:extLst>
          </xdr:cNvPr>
          <xdr:cNvCxnSpPr/>
        </xdr:nvCxnSpPr>
        <xdr:spPr>
          <a:xfrm flipH="1">
            <a:off x="766763" y="2022157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" name="Straight Connector 780">
            <a:extLst>
              <a:ext uri="{FF2B5EF4-FFF2-40B4-BE49-F238E27FC236}">
                <a16:creationId xmlns:a16="http://schemas.microsoft.com/office/drawing/2014/main" id="{39D8C6B0-4AF0-4FCC-97A8-068006663114}"/>
              </a:ext>
            </a:extLst>
          </xdr:cNvPr>
          <xdr:cNvCxnSpPr/>
        </xdr:nvCxnSpPr>
        <xdr:spPr>
          <a:xfrm flipH="1">
            <a:off x="728663" y="2109310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" name="Straight Connector 781">
            <a:extLst>
              <a:ext uri="{FF2B5EF4-FFF2-40B4-BE49-F238E27FC236}">
                <a16:creationId xmlns:a16="http://schemas.microsoft.com/office/drawing/2014/main" id="{E4988ED6-E6FF-4AD7-88EB-99BD0DC6F29E}"/>
              </a:ext>
            </a:extLst>
          </xdr:cNvPr>
          <xdr:cNvCxnSpPr/>
        </xdr:nvCxnSpPr>
        <xdr:spPr>
          <a:xfrm flipH="1">
            <a:off x="766763" y="2105500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Straight Connector 782">
            <a:extLst>
              <a:ext uri="{FF2B5EF4-FFF2-40B4-BE49-F238E27FC236}">
                <a16:creationId xmlns:a16="http://schemas.microsoft.com/office/drawing/2014/main" id="{33BE7052-28B2-4CED-ADF5-E1E8856315AE}"/>
              </a:ext>
            </a:extLst>
          </xdr:cNvPr>
          <xdr:cNvCxnSpPr/>
        </xdr:nvCxnSpPr>
        <xdr:spPr>
          <a:xfrm flipH="1">
            <a:off x="723900" y="2238851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Straight Connector 783">
            <a:extLst>
              <a:ext uri="{FF2B5EF4-FFF2-40B4-BE49-F238E27FC236}">
                <a16:creationId xmlns:a16="http://schemas.microsoft.com/office/drawing/2014/main" id="{82D7D2D1-892B-4CD6-B215-B01DEAC03D4F}"/>
              </a:ext>
            </a:extLst>
          </xdr:cNvPr>
          <xdr:cNvCxnSpPr/>
        </xdr:nvCxnSpPr>
        <xdr:spPr>
          <a:xfrm flipH="1">
            <a:off x="762000" y="2235041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Straight Connector 784">
            <a:extLst>
              <a:ext uri="{FF2B5EF4-FFF2-40B4-BE49-F238E27FC236}">
                <a16:creationId xmlns:a16="http://schemas.microsoft.com/office/drawing/2014/main" id="{47757236-F0B2-45C5-9896-7B14B256AB8D}"/>
              </a:ext>
            </a:extLst>
          </xdr:cNvPr>
          <xdr:cNvCxnSpPr/>
        </xdr:nvCxnSpPr>
        <xdr:spPr>
          <a:xfrm flipH="1">
            <a:off x="719137" y="2283142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Straight Connector 785">
            <a:extLst>
              <a:ext uri="{FF2B5EF4-FFF2-40B4-BE49-F238E27FC236}">
                <a16:creationId xmlns:a16="http://schemas.microsoft.com/office/drawing/2014/main" id="{3524BECD-CCD1-46A7-A2D8-9EFB28CE8E16}"/>
              </a:ext>
            </a:extLst>
          </xdr:cNvPr>
          <xdr:cNvCxnSpPr/>
        </xdr:nvCxnSpPr>
        <xdr:spPr>
          <a:xfrm flipH="1">
            <a:off x="757237" y="2279332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" name="Straight Connector 806">
            <a:extLst>
              <a:ext uri="{FF2B5EF4-FFF2-40B4-BE49-F238E27FC236}">
                <a16:creationId xmlns:a16="http://schemas.microsoft.com/office/drawing/2014/main" id="{38C0B184-6C80-4A36-9C4B-FF79DB57B604}"/>
              </a:ext>
            </a:extLst>
          </xdr:cNvPr>
          <xdr:cNvCxnSpPr/>
        </xdr:nvCxnSpPr>
        <xdr:spPr>
          <a:xfrm flipH="1">
            <a:off x="395288" y="23260040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6" name="Straight Connector 885">
            <a:extLst>
              <a:ext uri="{FF2B5EF4-FFF2-40B4-BE49-F238E27FC236}">
                <a16:creationId xmlns:a16="http://schemas.microsoft.com/office/drawing/2014/main" id="{780488E0-3282-4B5E-9AFF-2E5A074C592E}"/>
              </a:ext>
            </a:extLst>
          </xdr:cNvPr>
          <xdr:cNvCxnSpPr/>
        </xdr:nvCxnSpPr>
        <xdr:spPr>
          <a:xfrm flipH="1">
            <a:off x="766764" y="2322194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Straight Connector 984">
            <a:extLst>
              <a:ext uri="{FF2B5EF4-FFF2-40B4-BE49-F238E27FC236}">
                <a16:creationId xmlns:a16="http://schemas.microsoft.com/office/drawing/2014/main" id="{AF8B839A-299C-4B20-8A73-55CCFE3C7DF0}"/>
              </a:ext>
            </a:extLst>
          </xdr:cNvPr>
          <xdr:cNvCxnSpPr/>
        </xdr:nvCxnSpPr>
        <xdr:spPr>
          <a:xfrm>
            <a:off x="485776" y="20188238"/>
            <a:ext cx="0" cy="3138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6" name="Straight Connector 985">
            <a:extLst>
              <a:ext uri="{FF2B5EF4-FFF2-40B4-BE49-F238E27FC236}">
                <a16:creationId xmlns:a16="http://schemas.microsoft.com/office/drawing/2014/main" id="{12350913-2852-42FE-A1B2-844F2865AB13}"/>
              </a:ext>
            </a:extLst>
          </xdr:cNvPr>
          <xdr:cNvCxnSpPr/>
        </xdr:nvCxnSpPr>
        <xdr:spPr>
          <a:xfrm flipH="1">
            <a:off x="442913" y="2021681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1" name="Straight Connector 1040">
            <a:extLst>
              <a:ext uri="{FF2B5EF4-FFF2-40B4-BE49-F238E27FC236}">
                <a16:creationId xmlns:a16="http://schemas.microsoft.com/office/drawing/2014/main" id="{70B4E95B-1852-4B2D-BC85-5A205022A0C4}"/>
              </a:ext>
            </a:extLst>
          </xdr:cNvPr>
          <xdr:cNvCxnSpPr/>
        </xdr:nvCxnSpPr>
        <xdr:spPr>
          <a:xfrm flipH="1">
            <a:off x="442914" y="2321717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2" name="Straight Connector 1041">
            <a:extLst>
              <a:ext uri="{FF2B5EF4-FFF2-40B4-BE49-F238E27FC236}">
                <a16:creationId xmlns:a16="http://schemas.microsoft.com/office/drawing/2014/main" id="{3960B144-6255-4E91-A111-9A672CEFB451}"/>
              </a:ext>
            </a:extLst>
          </xdr:cNvPr>
          <xdr:cNvCxnSpPr/>
        </xdr:nvCxnSpPr>
        <xdr:spPr>
          <a:xfrm flipH="1">
            <a:off x="723900" y="2186939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1" name="Straight Connector 1060">
            <a:extLst>
              <a:ext uri="{FF2B5EF4-FFF2-40B4-BE49-F238E27FC236}">
                <a16:creationId xmlns:a16="http://schemas.microsoft.com/office/drawing/2014/main" id="{354A2B2B-232C-46AD-B1A4-AC8A6C210763}"/>
              </a:ext>
            </a:extLst>
          </xdr:cNvPr>
          <xdr:cNvCxnSpPr/>
        </xdr:nvCxnSpPr>
        <xdr:spPr>
          <a:xfrm flipH="1">
            <a:off x="762000" y="218313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2" name="Straight Connector 1061">
            <a:extLst>
              <a:ext uri="{FF2B5EF4-FFF2-40B4-BE49-F238E27FC236}">
                <a16:creationId xmlns:a16="http://schemas.microsoft.com/office/drawing/2014/main" id="{22774105-457E-42F1-AD6A-7318ABAD840F}"/>
              </a:ext>
            </a:extLst>
          </xdr:cNvPr>
          <xdr:cNvCxnSpPr/>
        </xdr:nvCxnSpPr>
        <xdr:spPr>
          <a:xfrm>
            <a:off x="4695825" y="20183475"/>
            <a:ext cx="0" cy="3138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3" name="Straight Connector 1062">
            <a:extLst>
              <a:ext uri="{FF2B5EF4-FFF2-40B4-BE49-F238E27FC236}">
                <a16:creationId xmlns:a16="http://schemas.microsoft.com/office/drawing/2014/main" id="{1827C43A-932D-4691-AA02-DB8F7671C18D}"/>
              </a:ext>
            </a:extLst>
          </xdr:cNvPr>
          <xdr:cNvCxnSpPr/>
        </xdr:nvCxnSpPr>
        <xdr:spPr>
          <a:xfrm>
            <a:off x="4414838" y="23260037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4" name="Straight Connector 1063">
            <a:extLst>
              <a:ext uri="{FF2B5EF4-FFF2-40B4-BE49-F238E27FC236}">
                <a16:creationId xmlns:a16="http://schemas.microsoft.com/office/drawing/2014/main" id="{844825ED-BEB9-4715-BA9B-5D5F2EFA8F7B}"/>
              </a:ext>
            </a:extLst>
          </xdr:cNvPr>
          <xdr:cNvCxnSpPr/>
        </xdr:nvCxnSpPr>
        <xdr:spPr>
          <a:xfrm>
            <a:off x="4410075" y="20259675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5" name="Straight Connector 1064">
            <a:extLst>
              <a:ext uri="{FF2B5EF4-FFF2-40B4-BE49-F238E27FC236}">
                <a16:creationId xmlns:a16="http://schemas.microsoft.com/office/drawing/2014/main" id="{440E8F1F-78D0-417C-A574-A5409F229471}"/>
              </a:ext>
            </a:extLst>
          </xdr:cNvPr>
          <xdr:cNvCxnSpPr/>
        </xdr:nvCxnSpPr>
        <xdr:spPr>
          <a:xfrm flipH="1">
            <a:off x="4648200" y="2022157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6" name="Straight Connector 1065">
            <a:extLst>
              <a:ext uri="{FF2B5EF4-FFF2-40B4-BE49-F238E27FC236}">
                <a16:creationId xmlns:a16="http://schemas.microsoft.com/office/drawing/2014/main" id="{909ABBB2-C12C-4322-A0CB-C3D638A66C9C}"/>
              </a:ext>
            </a:extLst>
          </xdr:cNvPr>
          <xdr:cNvCxnSpPr/>
        </xdr:nvCxnSpPr>
        <xdr:spPr>
          <a:xfrm flipH="1">
            <a:off x="4648201" y="23217174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7" name="Straight Connector 1066">
            <a:extLst>
              <a:ext uri="{FF2B5EF4-FFF2-40B4-BE49-F238E27FC236}">
                <a16:creationId xmlns:a16="http://schemas.microsoft.com/office/drawing/2014/main" id="{2400945C-AA09-4C1E-A4C6-7A56B8BFFE82}"/>
              </a:ext>
            </a:extLst>
          </xdr:cNvPr>
          <xdr:cNvCxnSpPr/>
        </xdr:nvCxnSpPr>
        <xdr:spPr>
          <a:xfrm>
            <a:off x="3648075" y="21831300"/>
            <a:ext cx="11191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8" name="Straight Connector 1067">
            <a:extLst>
              <a:ext uri="{FF2B5EF4-FFF2-40B4-BE49-F238E27FC236}">
                <a16:creationId xmlns:a16="http://schemas.microsoft.com/office/drawing/2014/main" id="{8163DFA5-2190-4CF9-BE43-DBD3CEF484BC}"/>
              </a:ext>
            </a:extLst>
          </xdr:cNvPr>
          <xdr:cNvCxnSpPr/>
        </xdr:nvCxnSpPr>
        <xdr:spPr>
          <a:xfrm flipH="1">
            <a:off x="4652964" y="217884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0" name="Straight Connector 1069">
            <a:extLst>
              <a:ext uri="{FF2B5EF4-FFF2-40B4-BE49-F238E27FC236}">
                <a16:creationId xmlns:a16="http://schemas.microsoft.com/office/drawing/2014/main" id="{F9D65EAB-D82D-4B64-9C2A-3CDD5DB32DF9}"/>
              </a:ext>
            </a:extLst>
          </xdr:cNvPr>
          <xdr:cNvCxnSpPr/>
        </xdr:nvCxnSpPr>
        <xdr:spPr>
          <a:xfrm>
            <a:off x="1143000" y="22393275"/>
            <a:ext cx="1609725" cy="539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1" name="Straight Connector 1070">
            <a:extLst>
              <a:ext uri="{FF2B5EF4-FFF2-40B4-BE49-F238E27FC236}">
                <a16:creationId xmlns:a16="http://schemas.microsoft.com/office/drawing/2014/main" id="{15D205F8-B363-4052-8932-908F0BA529AE}"/>
              </a:ext>
            </a:extLst>
          </xdr:cNvPr>
          <xdr:cNvCxnSpPr/>
        </xdr:nvCxnSpPr>
        <xdr:spPr>
          <a:xfrm flipH="1">
            <a:off x="3186112" y="2164080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2" name="Straight Connector 1071">
            <a:extLst>
              <a:ext uri="{FF2B5EF4-FFF2-40B4-BE49-F238E27FC236}">
                <a16:creationId xmlns:a16="http://schemas.microsoft.com/office/drawing/2014/main" id="{C20F5606-057D-4F59-B05D-411D4E64E929}"/>
              </a:ext>
            </a:extLst>
          </xdr:cNvPr>
          <xdr:cNvCxnSpPr/>
        </xdr:nvCxnSpPr>
        <xdr:spPr>
          <a:xfrm flipH="1">
            <a:off x="2614613" y="21397913"/>
            <a:ext cx="2095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3" name="Straight Connector 1072">
            <a:extLst>
              <a:ext uri="{FF2B5EF4-FFF2-40B4-BE49-F238E27FC236}">
                <a16:creationId xmlns:a16="http://schemas.microsoft.com/office/drawing/2014/main" id="{C75F91E6-7FB7-485B-8EB8-E7EF59D962AF}"/>
              </a:ext>
            </a:extLst>
          </xdr:cNvPr>
          <xdr:cNvCxnSpPr/>
        </xdr:nvCxnSpPr>
        <xdr:spPr>
          <a:xfrm>
            <a:off x="2686059" y="21302659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4" name="Straight Connector 1073">
            <a:extLst>
              <a:ext uri="{FF2B5EF4-FFF2-40B4-BE49-F238E27FC236}">
                <a16:creationId xmlns:a16="http://schemas.microsoft.com/office/drawing/2014/main" id="{784C5CCD-5E26-45D0-90D1-EE386E8EDD66}"/>
              </a:ext>
            </a:extLst>
          </xdr:cNvPr>
          <xdr:cNvCxnSpPr/>
        </xdr:nvCxnSpPr>
        <xdr:spPr>
          <a:xfrm flipH="1">
            <a:off x="2633672" y="21355047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5" name="Straight Connector 1074">
            <a:extLst>
              <a:ext uri="{FF2B5EF4-FFF2-40B4-BE49-F238E27FC236}">
                <a16:creationId xmlns:a16="http://schemas.microsoft.com/office/drawing/2014/main" id="{5B90CFCB-DE02-49F3-B8F2-53ADB3A5FD8E}"/>
              </a:ext>
            </a:extLst>
          </xdr:cNvPr>
          <xdr:cNvCxnSpPr/>
        </xdr:nvCxnSpPr>
        <xdr:spPr>
          <a:xfrm flipH="1">
            <a:off x="2700338" y="21355050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6" name="Straight Connector 1075">
            <a:extLst>
              <a:ext uri="{FF2B5EF4-FFF2-40B4-BE49-F238E27FC236}">
                <a16:creationId xmlns:a16="http://schemas.microsoft.com/office/drawing/2014/main" id="{4BE6A3AA-371A-4B00-AD18-27E05DAB4D2F}"/>
              </a:ext>
            </a:extLst>
          </xdr:cNvPr>
          <xdr:cNvCxnSpPr/>
        </xdr:nvCxnSpPr>
        <xdr:spPr>
          <a:xfrm flipV="1">
            <a:off x="1857375" y="21821775"/>
            <a:ext cx="0" cy="14954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7" name="Straight Connector 1076">
            <a:extLst>
              <a:ext uri="{FF2B5EF4-FFF2-40B4-BE49-F238E27FC236}">
                <a16:creationId xmlns:a16="http://schemas.microsoft.com/office/drawing/2014/main" id="{EDD9805F-4533-4F90-BDF7-6DDCB65C024A}"/>
              </a:ext>
            </a:extLst>
          </xdr:cNvPr>
          <xdr:cNvCxnSpPr/>
        </xdr:nvCxnSpPr>
        <xdr:spPr>
          <a:xfrm flipV="1">
            <a:off x="3648075" y="21807488"/>
            <a:ext cx="0" cy="1447798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78" name="Arc 1077">
            <a:extLst>
              <a:ext uri="{FF2B5EF4-FFF2-40B4-BE49-F238E27FC236}">
                <a16:creationId xmlns:a16="http://schemas.microsoft.com/office/drawing/2014/main" id="{8540C6F0-5822-4762-8A5F-ACA2BE76EC74}"/>
              </a:ext>
            </a:extLst>
          </xdr:cNvPr>
          <xdr:cNvSpPr/>
        </xdr:nvSpPr>
        <xdr:spPr>
          <a:xfrm rot="16200000">
            <a:off x="1857375" y="20955000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79" name="Straight Connector 1078">
            <a:extLst>
              <a:ext uri="{FF2B5EF4-FFF2-40B4-BE49-F238E27FC236}">
                <a16:creationId xmlns:a16="http://schemas.microsoft.com/office/drawing/2014/main" id="{F1EE07B4-6689-441B-ABD0-F082AD893ACB}"/>
              </a:ext>
            </a:extLst>
          </xdr:cNvPr>
          <xdr:cNvCxnSpPr/>
        </xdr:nvCxnSpPr>
        <xdr:spPr>
          <a:xfrm>
            <a:off x="1057275" y="23831550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0" name="Straight Connector 1079">
            <a:extLst>
              <a:ext uri="{FF2B5EF4-FFF2-40B4-BE49-F238E27FC236}">
                <a16:creationId xmlns:a16="http://schemas.microsoft.com/office/drawing/2014/main" id="{94B7BB4B-8B4A-4218-B122-FF87FE6F61B2}"/>
              </a:ext>
            </a:extLst>
          </xdr:cNvPr>
          <xdr:cNvCxnSpPr/>
        </xdr:nvCxnSpPr>
        <xdr:spPr>
          <a:xfrm flipH="1">
            <a:off x="1814513" y="2378868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1" name="Straight Connector 1080">
            <a:extLst>
              <a:ext uri="{FF2B5EF4-FFF2-40B4-BE49-F238E27FC236}">
                <a16:creationId xmlns:a16="http://schemas.microsoft.com/office/drawing/2014/main" id="{6CCDCEEA-ABAE-4F21-A085-884D43218CC0}"/>
              </a:ext>
            </a:extLst>
          </xdr:cNvPr>
          <xdr:cNvCxnSpPr/>
        </xdr:nvCxnSpPr>
        <xdr:spPr>
          <a:xfrm flipH="1">
            <a:off x="4329114" y="235076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2" name="Straight Connector 1081">
            <a:extLst>
              <a:ext uri="{FF2B5EF4-FFF2-40B4-BE49-F238E27FC236}">
                <a16:creationId xmlns:a16="http://schemas.microsoft.com/office/drawing/2014/main" id="{5DC37961-0E83-48E8-B134-6A180AEDF7AF}"/>
              </a:ext>
            </a:extLst>
          </xdr:cNvPr>
          <xdr:cNvCxnSpPr/>
        </xdr:nvCxnSpPr>
        <xdr:spPr>
          <a:xfrm>
            <a:off x="2419366" y="19902488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3" name="Straight Connector 1082">
            <a:extLst>
              <a:ext uri="{FF2B5EF4-FFF2-40B4-BE49-F238E27FC236}">
                <a16:creationId xmlns:a16="http://schemas.microsoft.com/office/drawing/2014/main" id="{6C692314-2258-4A19-AFF6-CCD4046F3375}"/>
              </a:ext>
            </a:extLst>
          </xdr:cNvPr>
          <xdr:cNvCxnSpPr/>
        </xdr:nvCxnSpPr>
        <xdr:spPr>
          <a:xfrm flipH="1">
            <a:off x="2376505" y="199263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4" name="Straight Connector 1083">
            <a:extLst>
              <a:ext uri="{FF2B5EF4-FFF2-40B4-BE49-F238E27FC236}">
                <a16:creationId xmlns:a16="http://schemas.microsoft.com/office/drawing/2014/main" id="{CF129E2F-CA68-474B-9ACE-5E432778B642}"/>
              </a:ext>
            </a:extLst>
          </xdr:cNvPr>
          <xdr:cNvCxnSpPr/>
        </xdr:nvCxnSpPr>
        <xdr:spPr>
          <a:xfrm>
            <a:off x="3076586" y="1991201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Straight Connector 1084">
            <a:extLst>
              <a:ext uri="{FF2B5EF4-FFF2-40B4-BE49-F238E27FC236}">
                <a16:creationId xmlns:a16="http://schemas.microsoft.com/office/drawing/2014/main" id="{0BE02608-9A31-4394-96D2-CE0277550CD8}"/>
              </a:ext>
            </a:extLst>
          </xdr:cNvPr>
          <xdr:cNvCxnSpPr/>
        </xdr:nvCxnSpPr>
        <xdr:spPr>
          <a:xfrm flipH="1">
            <a:off x="3033724" y="1993106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6" name="Straight Connector 1085">
            <a:extLst>
              <a:ext uri="{FF2B5EF4-FFF2-40B4-BE49-F238E27FC236}">
                <a16:creationId xmlns:a16="http://schemas.microsoft.com/office/drawing/2014/main" id="{48367C1C-746F-490B-AF76-51919CB1AC2F}"/>
              </a:ext>
            </a:extLst>
          </xdr:cNvPr>
          <xdr:cNvCxnSpPr/>
        </xdr:nvCxnSpPr>
        <xdr:spPr>
          <a:xfrm>
            <a:off x="1066799" y="24403049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7" name="Straight Connector 1086">
            <a:extLst>
              <a:ext uri="{FF2B5EF4-FFF2-40B4-BE49-F238E27FC236}">
                <a16:creationId xmlns:a16="http://schemas.microsoft.com/office/drawing/2014/main" id="{0F36EC9F-32C1-4857-A9D2-556D7FDD7BBE}"/>
              </a:ext>
            </a:extLst>
          </xdr:cNvPr>
          <xdr:cNvCxnSpPr/>
        </xdr:nvCxnSpPr>
        <xdr:spPr>
          <a:xfrm flipH="1">
            <a:off x="1090613" y="243649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8" name="Straight Connector 1087">
            <a:extLst>
              <a:ext uri="{FF2B5EF4-FFF2-40B4-BE49-F238E27FC236}">
                <a16:creationId xmlns:a16="http://schemas.microsoft.com/office/drawing/2014/main" id="{E5E9CF0B-7B3B-4A91-9D34-90B204276AF8}"/>
              </a:ext>
            </a:extLst>
          </xdr:cNvPr>
          <xdr:cNvCxnSpPr/>
        </xdr:nvCxnSpPr>
        <xdr:spPr>
          <a:xfrm flipH="1">
            <a:off x="4329113" y="243649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9" name="Straight Connector 1088">
            <a:extLst>
              <a:ext uri="{FF2B5EF4-FFF2-40B4-BE49-F238E27FC236}">
                <a16:creationId xmlns:a16="http://schemas.microsoft.com/office/drawing/2014/main" id="{08B18C51-0DD7-4AB5-A8E2-5AEFF9067668}"/>
              </a:ext>
            </a:extLst>
          </xdr:cNvPr>
          <xdr:cNvCxnSpPr/>
        </xdr:nvCxnSpPr>
        <xdr:spPr>
          <a:xfrm flipH="1">
            <a:off x="1090612" y="2379344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0" name="Straight Connector 1089">
            <a:extLst>
              <a:ext uri="{FF2B5EF4-FFF2-40B4-BE49-F238E27FC236}">
                <a16:creationId xmlns:a16="http://schemas.microsoft.com/office/drawing/2014/main" id="{CE69F6E2-0DE3-4B8C-93DF-195C3AA8C888}"/>
              </a:ext>
            </a:extLst>
          </xdr:cNvPr>
          <xdr:cNvCxnSpPr/>
        </xdr:nvCxnSpPr>
        <xdr:spPr>
          <a:xfrm flipH="1">
            <a:off x="4329112" y="2379344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1" name="Straight Connector 1090">
            <a:extLst>
              <a:ext uri="{FF2B5EF4-FFF2-40B4-BE49-F238E27FC236}">
                <a16:creationId xmlns:a16="http://schemas.microsoft.com/office/drawing/2014/main" id="{F34EA53E-D3D9-40B5-94DA-DB2E5EF1B6D8}"/>
              </a:ext>
            </a:extLst>
          </xdr:cNvPr>
          <xdr:cNvCxnSpPr/>
        </xdr:nvCxnSpPr>
        <xdr:spPr>
          <a:xfrm flipH="1">
            <a:off x="2709862" y="2379345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2" name="Straight Connector 1091">
            <a:extLst>
              <a:ext uri="{FF2B5EF4-FFF2-40B4-BE49-F238E27FC236}">
                <a16:creationId xmlns:a16="http://schemas.microsoft.com/office/drawing/2014/main" id="{B7B63B12-C1A9-4AD8-8911-902CEE1073A4}"/>
              </a:ext>
            </a:extLst>
          </xdr:cNvPr>
          <xdr:cNvCxnSpPr/>
        </xdr:nvCxnSpPr>
        <xdr:spPr>
          <a:xfrm>
            <a:off x="2762250" y="2203132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Straight Connector 1092">
            <a:extLst>
              <a:ext uri="{FF2B5EF4-FFF2-40B4-BE49-F238E27FC236}">
                <a16:creationId xmlns:a16="http://schemas.microsoft.com/office/drawing/2014/main" id="{6185D378-6BE4-4DE1-8C43-89ACB95F50DE}"/>
              </a:ext>
            </a:extLst>
          </xdr:cNvPr>
          <xdr:cNvCxnSpPr/>
        </xdr:nvCxnSpPr>
        <xdr:spPr>
          <a:xfrm>
            <a:off x="2938462" y="21688425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94" name="Oval 1093">
            <a:extLst>
              <a:ext uri="{FF2B5EF4-FFF2-40B4-BE49-F238E27FC236}">
                <a16:creationId xmlns:a16="http://schemas.microsoft.com/office/drawing/2014/main" id="{30A89574-007B-40E0-B1A1-DC6584C5BF1B}"/>
              </a:ext>
            </a:extLst>
          </xdr:cNvPr>
          <xdr:cNvSpPr/>
        </xdr:nvSpPr>
        <xdr:spPr>
          <a:xfrm>
            <a:off x="2729866" y="2180367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95" name="Straight Connector 1094">
            <a:extLst>
              <a:ext uri="{FF2B5EF4-FFF2-40B4-BE49-F238E27FC236}">
                <a16:creationId xmlns:a16="http://schemas.microsoft.com/office/drawing/2014/main" id="{90EAF6B9-0D86-4C49-8715-9C6CD77E04CD}"/>
              </a:ext>
            </a:extLst>
          </xdr:cNvPr>
          <xdr:cNvCxnSpPr/>
        </xdr:nvCxnSpPr>
        <xdr:spPr>
          <a:xfrm>
            <a:off x="2195513" y="21831300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6" name="Straight Connector 1095">
            <a:extLst>
              <a:ext uri="{FF2B5EF4-FFF2-40B4-BE49-F238E27FC236}">
                <a16:creationId xmlns:a16="http://schemas.microsoft.com/office/drawing/2014/main" id="{370CD7BC-30BC-4E97-BF92-5E3D79A10AB3}"/>
              </a:ext>
            </a:extLst>
          </xdr:cNvPr>
          <xdr:cNvCxnSpPr/>
        </xdr:nvCxnSpPr>
        <xdr:spPr>
          <a:xfrm flipV="1">
            <a:off x="2266950" y="21631275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Straight Connector 1096">
            <a:extLst>
              <a:ext uri="{FF2B5EF4-FFF2-40B4-BE49-F238E27FC236}">
                <a16:creationId xmlns:a16="http://schemas.microsoft.com/office/drawing/2014/main" id="{B1F134AE-1FFF-4B8E-B901-91CBA109605B}"/>
              </a:ext>
            </a:extLst>
          </xdr:cNvPr>
          <xdr:cNvCxnSpPr/>
        </xdr:nvCxnSpPr>
        <xdr:spPr>
          <a:xfrm flipH="1">
            <a:off x="2190750" y="2168842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8" name="Straight Connector 1097">
            <a:extLst>
              <a:ext uri="{FF2B5EF4-FFF2-40B4-BE49-F238E27FC236}">
                <a16:creationId xmlns:a16="http://schemas.microsoft.com/office/drawing/2014/main" id="{30483208-4BC9-45D5-A7DD-91E13CB67794}"/>
              </a:ext>
            </a:extLst>
          </xdr:cNvPr>
          <xdr:cNvCxnSpPr/>
        </xdr:nvCxnSpPr>
        <xdr:spPr>
          <a:xfrm flipH="1">
            <a:off x="2224088" y="21655088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9" name="Straight Connector 1098">
            <a:extLst>
              <a:ext uri="{FF2B5EF4-FFF2-40B4-BE49-F238E27FC236}">
                <a16:creationId xmlns:a16="http://schemas.microsoft.com/office/drawing/2014/main" id="{86E1C887-E163-435E-A1C7-FAB0155FDD1B}"/>
              </a:ext>
            </a:extLst>
          </xdr:cNvPr>
          <xdr:cNvCxnSpPr/>
        </xdr:nvCxnSpPr>
        <xdr:spPr>
          <a:xfrm flipH="1">
            <a:off x="2228850" y="21793200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0" name="Straight Connector 1099">
            <a:extLst>
              <a:ext uri="{FF2B5EF4-FFF2-40B4-BE49-F238E27FC236}">
                <a16:creationId xmlns:a16="http://schemas.microsoft.com/office/drawing/2014/main" id="{8B4673FB-5301-4E82-B245-D1D5ECAB6D25}"/>
              </a:ext>
            </a:extLst>
          </xdr:cNvPr>
          <xdr:cNvCxnSpPr/>
        </xdr:nvCxnSpPr>
        <xdr:spPr>
          <a:xfrm flipH="1">
            <a:off x="3190874" y="2198846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1" name="Straight Connector 1100">
            <a:extLst>
              <a:ext uri="{FF2B5EF4-FFF2-40B4-BE49-F238E27FC236}">
                <a16:creationId xmlns:a16="http://schemas.microsoft.com/office/drawing/2014/main" id="{D8614702-D42B-4DBA-B592-C090889BA855}"/>
              </a:ext>
            </a:extLst>
          </xdr:cNvPr>
          <xdr:cNvCxnSpPr/>
        </xdr:nvCxnSpPr>
        <xdr:spPr>
          <a:xfrm>
            <a:off x="2767012" y="2225040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2" name="Straight Connector 1101">
            <a:extLst>
              <a:ext uri="{FF2B5EF4-FFF2-40B4-BE49-F238E27FC236}">
                <a16:creationId xmlns:a16="http://schemas.microsoft.com/office/drawing/2014/main" id="{CD6E71E3-BDEE-4227-8D31-679D2FF3A108}"/>
              </a:ext>
            </a:extLst>
          </xdr:cNvPr>
          <xdr:cNvCxnSpPr/>
        </xdr:nvCxnSpPr>
        <xdr:spPr>
          <a:xfrm flipH="1">
            <a:off x="3195636" y="222075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3" name="Straight Connector 1102">
            <a:extLst>
              <a:ext uri="{FF2B5EF4-FFF2-40B4-BE49-F238E27FC236}">
                <a16:creationId xmlns:a16="http://schemas.microsoft.com/office/drawing/2014/main" id="{06B0CF63-A45C-4A1E-A33E-A31A26C03948}"/>
              </a:ext>
            </a:extLst>
          </xdr:cNvPr>
          <xdr:cNvCxnSpPr/>
        </xdr:nvCxnSpPr>
        <xdr:spPr>
          <a:xfrm>
            <a:off x="2762249" y="225599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4" name="Straight Connector 1103">
            <a:extLst>
              <a:ext uri="{FF2B5EF4-FFF2-40B4-BE49-F238E27FC236}">
                <a16:creationId xmlns:a16="http://schemas.microsoft.com/office/drawing/2014/main" id="{90A9E7D4-229B-4BCC-B5A4-D0E90F9CDAF2}"/>
              </a:ext>
            </a:extLst>
          </xdr:cNvPr>
          <xdr:cNvCxnSpPr/>
        </xdr:nvCxnSpPr>
        <xdr:spPr>
          <a:xfrm flipH="1">
            <a:off x="3190873" y="225171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Straight Connector 1104">
            <a:extLst>
              <a:ext uri="{FF2B5EF4-FFF2-40B4-BE49-F238E27FC236}">
                <a16:creationId xmlns:a16="http://schemas.microsoft.com/office/drawing/2014/main" id="{2FDC15E9-850F-4405-AB96-E8974B8333F3}"/>
              </a:ext>
            </a:extLst>
          </xdr:cNvPr>
          <xdr:cNvCxnSpPr/>
        </xdr:nvCxnSpPr>
        <xdr:spPr>
          <a:xfrm>
            <a:off x="2762248" y="229409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6" name="Straight Connector 1105">
            <a:extLst>
              <a:ext uri="{FF2B5EF4-FFF2-40B4-BE49-F238E27FC236}">
                <a16:creationId xmlns:a16="http://schemas.microsoft.com/office/drawing/2014/main" id="{02C9A0B2-2E72-4DAD-A267-A49DE4482524}"/>
              </a:ext>
            </a:extLst>
          </xdr:cNvPr>
          <xdr:cNvCxnSpPr/>
        </xdr:nvCxnSpPr>
        <xdr:spPr>
          <a:xfrm flipH="1">
            <a:off x="3190872" y="228981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7" name="Straight Connector 1106">
            <a:extLst>
              <a:ext uri="{FF2B5EF4-FFF2-40B4-BE49-F238E27FC236}">
                <a16:creationId xmlns:a16="http://schemas.microsoft.com/office/drawing/2014/main" id="{16D840F5-91B9-409E-B80C-F7C5780387D1}"/>
              </a:ext>
            </a:extLst>
          </xdr:cNvPr>
          <xdr:cNvCxnSpPr/>
        </xdr:nvCxnSpPr>
        <xdr:spPr>
          <a:xfrm>
            <a:off x="2767010" y="2315527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8" name="Straight Connector 1107">
            <a:extLst>
              <a:ext uri="{FF2B5EF4-FFF2-40B4-BE49-F238E27FC236}">
                <a16:creationId xmlns:a16="http://schemas.microsoft.com/office/drawing/2014/main" id="{D54A9224-3211-45C2-8F48-37798B64398C}"/>
              </a:ext>
            </a:extLst>
          </xdr:cNvPr>
          <xdr:cNvCxnSpPr/>
        </xdr:nvCxnSpPr>
        <xdr:spPr>
          <a:xfrm flipH="1">
            <a:off x="3195634" y="2311241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9" name="Straight Connector 1108">
            <a:extLst>
              <a:ext uri="{FF2B5EF4-FFF2-40B4-BE49-F238E27FC236}">
                <a16:creationId xmlns:a16="http://schemas.microsoft.com/office/drawing/2014/main" id="{F80376C0-752C-4B09-B31C-0E7412D8B4F5}"/>
              </a:ext>
            </a:extLst>
          </xdr:cNvPr>
          <xdr:cNvCxnSpPr/>
        </xdr:nvCxnSpPr>
        <xdr:spPr>
          <a:xfrm>
            <a:off x="2762248" y="2269331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0" name="Straight Connector 1109">
            <a:extLst>
              <a:ext uri="{FF2B5EF4-FFF2-40B4-BE49-F238E27FC236}">
                <a16:creationId xmlns:a16="http://schemas.microsoft.com/office/drawing/2014/main" id="{D67A106E-F1ED-4F7B-A9CF-295DF89AC16D}"/>
              </a:ext>
            </a:extLst>
          </xdr:cNvPr>
          <xdr:cNvCxnSpPr/>
        </xdr:nvCxnSpPr>
        <xdr:spPr>
          <a:xfrm flipH="1">
            <a:off x="3190872" y="226504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1" name="Straight Connector 1110">
            <a:extLst>
              <a:ext uri="{FF2B5EF4-FFF2-40B4-BE49-F238E27FC236}">
                <a16:creationId xmlns:a16="http://schemas.microsoft.com/office/drawing/2014/main" id="{A535FF68-A95B-418A-98A1-939A6D70A650}"/>
              </a:ext>
            </a:extLst>
          </xdr:cNvPr>
          <xdr:cNvCxnSpPr/>
        </xdr:nvCxnSpPr>
        <xdr:spPr>
          <a:xfrm>
            <a:off x="2762248" y="2240280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2" name="Straight Connector 1111">
            <a:extLst>
              <a:ext uri="{FF2B5EF4-FFF2-40B4-BE49-F238E27FC236}">
                <a16:creationId xmlns:a16="http://schemas.microsoft.com/office/drawing/2014/main" id="{ED32F5A5-410C-4FD3-8C27-F7BF82F7E177}"/>
              </a:ext>
            </a:extLst>
          </xdr:cNvPr>
          <xdr:cNvCxnSpPr/>
        </xdr:nvCxnSpPr>
        <xdr:spPr>
          <a:xfrm flipH="1">
            <a:off x="3190872" y="223599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3" name="Oval 1112">
            <a:extLst>
              <a:ext uri="{FF2B5EF4-FFF2-40B4-BE49-F238E27FC236}">
                <a16:creationId xmlns:a16="http://schemas.microsoft.com/office/drawing/2014/main" id="{8E43713A-C772-4B77-B049-9F901A2B0B9E}"/>
              </a:ext>
            </a:extLst>
          </xdr:cNvPr>
          <xdr:cNvSpPr/>
        </xdr:nvSpPr>
        <xdr:spPr>
          <a:xfrm>
            <a:off x="1833563" y="21802725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14" name="Oval 1113">
            <a:extLst>
              <a:ext uri="{FF2B5EF4-FFF2-40B4-BE49-F238E27FC236}">
                <a16:creationId xmlns:a16="http://schemas.microsoft.com/office/drawing/2014/main" id="{DB7B136C-934A-434A-B6C0-87ED68BBAF13}"/>
              </a:ext>
            </a:extLst>
          </xdr:cNvPr>
          <xdr:cNvSpPr/>
        </xdr:nvSpPr>
        <xdr:spPr>
          <a:xfrm>
            <a:off x="3624263" y="2180748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15" name="Straight Connector 1114">
            <a:extLst>
              <a:ext uri="{FF2B5EF4-FFF2-40B4-BE49-F238E27FC236}">
                <a16:creationId xmlns:a16="http://schemas.microsoft.com/office/drawing/2014/main" id="{53B9AAAD-D953-4954-9DE0-99D0C6931BEF}"/>
              </a:ext>
            </a:extLst>
          </xdr:cNvPr>
          <xdr:cNvCxnSpPr/>
        </xdr:nvCxnSpPr>
        <xdr:spPr>
          <a:xfrm>
            <a:off x="4781550" y="21688425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6" name="Straight Connector 1115">
            <a:extLst>
              <a:ext uri="{FF2B5EF4-FFF2-40B4-BE49-F238E27FC236}">
                <a16:creationId xmlns:a16="http://schemas.microsoft.com/office/drawing/2014/main" id="{A7F39A89-5D06-4C73-B99A-5869FD74359F}"/>
              </a:ext>
            </a:extLst>
          </xdr:cNvPr>
          <xdr:cNvCxnSpPr/>
        </xdr:nvCxnSpPr>
        <xdr:spPr>
          <a:xfrm>
            <a:off x="5019675" y="20183475"/>
            <a:ext cx="0" cy="31480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7" name="Straight Connector 1116">
            <a:extLst>
              <a:ext uri="{FF2B5EF4-FFF2-40B4-BE49-F238E27FC236}">
                <a16:creationId xmlns:a16="http://schemas.microsoft.com/office/drawing/2014/main" id="{32513006-721E-4762-91E2-9D8D0217D0F5}"/>
              </a:ext>
            </a:extLst>
          </xdr:cNvPr>
          <xdr:cNvCxnSpPr/>
        </xdr:nvCxnSpPr>
        <xdr:spPr>
          <a:xfrm flipH="1">
            <a:off x="4981576" y="232124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8" name="Straight Connector 1117">
            <a:extLst>
              <a:ext uri="{FF2B5EF4-FFF2-40B4-BE49-F238E27FC236}">
                <a16:creationId xmlns:a16="http://schemas.microsoft.com/office/drawing/2014/main" id="{1FBD4F2F-3214-4635-B849-CC7D8EAF5207}"/>
              </a:ext>
            </a:extLst>
          </xdr:cNvPr>
          <xdr:cNvCxnSpPr/>
        </xdr:nvCxnSpPr>
        <xdr:spPr>
          <a:xfrm flipH="1">
            <a:off x="4976814" y="216455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9" name="Straight Connector 1118">
            <a:extLst>
              <a:ext uri="{FF2B5EF4-FFF2-40B4-BE49-F238E27FC236}">
                <a16:creationId xmlns:a16="http://schemas.microsoft.com/office/drawing/2014/main" id="{C3C7073E-2A3A-4A48-BA97-95ABE5967625}"/>
              </a:ext>
            </a:extLst>
          </xdr:cNvPr>
          <xdr:cNvCxnSpPr/>
        </xdr:nvCxnSpPr>
        <xdr:spPr>
          <a:xfrm>
            <a:off x="3509962" y="21688425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0" name="Straight Connector 1119">
            <a:extLst>
              <a:ext uri="{FF2B5EF4-FFF2-40B4-BE49-F238E27FC236}">
                <a16:creationId xmlns:a16="http://schemas.microsoft.com/office/drawing/2014/main" id="{2099C2B9-FAF8-4AFA-ABED-E35912239B4E}"/>
              </a:ext>
            </a:extLst>
          </xdr:cNvPr>
          <xdr:cNvCxnSpPr/>
        </xdr:nvCxnSpPr>
        <xdr:spPr>
          <a:xfrm>
            <a:off x="4419600" y="21688425"/>
            <a:ext cx="219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3" name="Straight Connector 1122">
            <a:extLst>
              <a:ext uri="{FF2B5EF4-FFF2-40B4-BE49-F238E27FC236}">
                <a16:creationId xmlns:a16="http://schemas.microsoft.com/office/drawing/2014/main" id="{25670462-6475-450D-9E22-D882DF0FBF8E}"/>
              </a:ext>
            </a:extLst>
          </xdr:cNvPr>
          <xdr:cNvCxnSpPr/>
        </xdr:nvCxnSpPr>
        <xdr:spPr>
          <a:xfrm>
            <a:off x="1671653" y="19916776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4" name="Straight Connector 1123">
            <a:extLst>
              <a:ext uri="{FF2B5EF4-FFF2-40B4-BE49-F238E27FC236}">
                <a16:creationId xmlns:a16="http://schemas.microsoft.com/office/drawing/2014/main" id="{340D4669-0911-4FEA-9787-72D01EF3C969}"/>
              </a:ext>
            </a:extLst>
          </xdr:cNvPr>
          <xdr:cNvCxnSpPr/>
        </xdr:nvCxnSpPr>
        <xdr:spPr>
          <a:xfrm flipH="1">
            <a:off x="1628792" y="199405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5" name="Straight Connector 1124">
            <a:extLst>
              <a:ext uri="{FF2B5EF4-FFF2-40B4-BE49-F238E27FC236}">
                <a16:creationId xmlns:a16="http://schemas.microsoft.com/office/drawing/2014/main" id="{3DBCDBE5-417E-43DA-BFEE-4748503B959B}"/>
              </a:ext>
            </a:extLst>
          </xdr:cNvPr>
          <xdr:cNvCxnSpPr/>
        </xdr:nvCxnSpPr>
        <xdr:spPr>
          <a:xfrm>
            <a:off x="3833819" y="1990725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6" name="Straight Connector 1125">
            <a:extLst>
              <a:ext uri="{FF2B5EF4-FFF2-40B4-BE49-F238E27FC236}">
                <a16:creationId xmlns:a16="http://schemas.microsoft.com/office/drawing/2014/main" id="{563B6DD9-4E35-4AF5-8B3B-420BB17FE6C6}"/>
              </a:ext>
            </a:extLst>
          </xdr:cNvPr>
          <xdr:cNvCxnSpPr/>
        </xdr:nvCxnSpPr>
        <xdr:spPr>
          <a:xfrm flipH="1">
            <a:off x="3790957" y="199310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7" name="Straight Connector 1126">
            <a:extLst>
              <a:ext uri="{FF2B5EF4-FFF2-40B4-BE49-F238E27FC236}">
                <a16:creationId xmlns:a16="http://schemas.microsoft.com/office/drawing/2014/main" id="{2B5ACAE8-D567-47FD-A697-1BC18CCA7F8B}"/>
              </a:ext>
            </a:extLst>
          </xdr:cNvPr>
          <xdr:cNvCxnSpPr/>
        </xdr:nvCxnSpPr>
        <xdr:spPr>
          <a:xfrm flipH="1">
            <a:off x="4976813" y="2021205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4" name="Straight Connector 1143">
            <a:extLst>
              <a:ext uri="{FF2B5EF4-FFF2-40B4-BE49-F238E27FC236}">
                <a16:creationId xmlns:a16="http://schemas.microsoft.com/office/drawing/2014/main" id="{02D6EC95-AD90-43C0-8532-AF7B4A36A821}"/>
              </a:ext>
            </a:extLst>
          </xdr:cNvPr>
          <xdr:cNvCxnSpPr/>
        </xdr:nvCxnSpPr>
        <xdr:spPr>
          <a:xfrm flipH="1">
            <a:off x="733425" y="20402543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5" name="Straight Connector 1144">
            <a:extLst>
              <a:ext uri="{FF2B5EF4-FFF2-40B4-BE49-F238E27FC236}">
                <a16:creationId xmlns:a16="http://schemas.microsoft.com/office/drawing/2014/main" id="{4F51D201-D09E-454B-8556-A70E25E6A388}"/>
              </a:ext>
            </a:extLst>
          </xdr:cNvPr>
          <xdr:cNvCxnSpPr/>
        </xdr:nvCxnSpPr>
        <xdr:spPr>
          <a:xfrm flipH="1">
            <a:off x="771525" y="2036444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33</xdr:col>
      <xdr:colOff>66676</xdr:colOff>
      <xdr:row>499</xdr:row>
      <xdr:rowOff>76201</xdr:rowOff>
    </xdr:from>
    <xdr:to>
      <xdr:col>53</xdr:col>
      <xdr:colOff>0</xdr:colOff>
      <xdr:row>521</xdr:row>
      <xdr:rowOff>104775</xdr:rowOff>
    </xdr:to>
    <xdr:pic>
      <xdr:nvPicPr>
        <xdr:cNvPr id="1146" name="Picture 1145">
          <a:extLst>
            <a:ext uri="{FF2B5EF4-FFF2-40B4-BE49-F238E27FC236}">
              <a16:creationId xmlns:a16="http://schemas.microsoft.com/office/drawing/2014/main" id="{BBAFD159-2203-4A1E-B1F5-F63A1540D6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22" t="35641" r="57063" b="24153"/>
        <a:stretch/>
      </xdr:blipFill>
      <xdr:spPr bwMode="auto">
        <a:xfrm>
          <a:off x="5410201" y="47034451"/>
          <a:ext cx="3171824" cy="3171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142875</xdr:colOff>
      <xdr:row>538</xdr:row>
      <xdr:rowOff>114300</xdr:rowOff>
    </xdr:from>
    <xdr:to>
      <xdr:col>57</xdr:col>
      <xdr:colOff>142875</xdr:colOff>
      <xdr:row>540</xdr:row>
      <xdr:rowOff>66675</xdr:rowOff>
    </xdr:to>
    <xdr:cxnSp macro="">
      <xdr:nvCxnSpPr>
        <xdr:cNvPr id="676" name="Straight Arrow Connector 675">
          <a:extLst>
            <a:ext uri="{FF2B5EF4-FFF2-40B4-BE49-F238E27FC236}">
              <a16:creationId xmlns:a16="http://schemas.microsoft.com/office/drawing/2014/main" id="{4BC3A2E6-6533-464F-9487-3E46F11CE3A3}"/>
            </a:ext>
          </a:extLst>
        </xdr:cNvPr>
        <xdr:cNvCxnSpPr/>
      </xdr:nvCxnSpPr>
      <xdr:spPr>
        <a:xfrm flipH="1" flipV="1">
          <a:off x="9048750" y="53139975"/>
          <a:ext cx="323850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85725</xdr:colOff>
      <xdr:row>559</xdr:row>
      <xdr:rowOff>66675</xdr:rowOff>
    </xdr:from>
    <xdr:to>
      <xdr:col>46</xdr:col>
      <xdr:colOff>8164</xdr:colOff>
      <xdr:row>565</xdr:row>
      <xdr:rowOff>1360</xdr:rowOff>
    </xdr:to>
    <xdr:grpSp>
      <xdr:nvGrpSpPr>
        <xdr:cNvPr id="677" name="Group 676">
          <a:extLst>
            <a:ext uri="{FF2B5EF4-FFF2-40B4-BE49-F238E27FC236}">
              <a16:creationId xmlns:a16="http://schemas.microsoft.com/office/drawing/2014/main" id="{4E878B0E-0255-4D83-A3F4-BFA0B4FA6ECC}"/>
            </a:ext>
          </a:extLst>
        </xdr:cNvPr>
        <xdr:cNvGrpSpPr/>
      </xdr:nvGrpSpPr>
      <xdr:grpSpPr>
        <a:xfrm>
          <a:off x="5753100" y="86363175"/>
          <a:ext cx="1703614" cy="791935"/>
          <a:chOff x="6076950" y="10163175"/>
          <a:chExt cx="1703614" cy="791935"/>
        </a:xfrm>
      </xdr:grpSpPr>
      <xdr:sp macro="" textlink="">
        <xdr:nvSpPr>
          <xdr:cNvPr id="691" name="Freeform: Shape 690">
            <a:extLst>
              <a:ext uri="{FF2B5EF4-FFF2-40B4-BE49-F238E27FC236}">
                <a16:creationId xmlns:a16="http://schemas.microsoft.com/office/drawing/2014/main" id="{2DBF8645-4D97-47AB-A91E-87F399973994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95" name="Freeform: Shape 694">
            <a:extLst>
              <a:ext uri="{FF2B5EF4-FFF2-40B4-BE49-F238E27FC236}">
                <a16:creationId xmlns:a16="http://schemas.microsoft.com/office/drawing/2014/main" id="{DBF8F82F-CBF5-422F-A2E1-1955B8BC62DC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02" name="Freeform: Shape 701">
            <a:extLst>
              <a:ext uri="{FF2B5EF4-FFF2-40B4-BE49-F238E27FC236}">
                <a16:creationId xmlns:a16="http://schemas.microsoft.com/office/drawing/2014/main" id="{B169CD01-FA48-41D2-8880-D6A7EE67228C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703" name="Straight Connector 702">
            <a:extLst>
              <a:ext uri="{FF2B5EF4-FFF2-40B4-BE49-F238E27FC236}">
                <a16:creationId xmlns:a16="http://schemas.microsoft.com/office/drawing/2014/main" id="{71EB3170-C386-4A34-B364-F594F4DA8E0A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" name="Straight Connector 726">
            <a:extLst>
              <a:ext uri="{FF2B5EF4-FFF2-40B4-BE49-F238E27FC236}">
                <a16:creationId xmlns:a16="http://schemas.microsoft.com/office/drawing/2014/main" id="{493FA1A1-46F2-4191-9DAB-D18E34CCF57C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" name="Straight Connector 727">
            <a:extLst>
              <a:ext uri="{FF2B5EF4-FFF2-40B4-BE49-F238E27FC236}">
                <a16:creationId xmlns:a16="http://schemas.microsoft.com/office/drawing/2014/main" id="{954CD700-BCEB-4C10-8E6F-E6B9866E066C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" name="Straight Connector 739">
            <a:extLst>
              <a:ext uri="{FF2B5EF4-FFF2-40B4-BE49-F238E27FC236}">
                <a16:creationId xmlns:a16="http://schemas.microsoft.com/office/drawing/2014/main" id="{122E2D10-46DB-4418-A3EA-CEBC67F761CB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" name="Straight Connector 761">
            <a:extLst>
              <a:ext uri="{FF2B5EF4-FFF2-40B4-BE49-F238E27FC236}">
                <a16:creationId xmlns:a16="http://schemas.microsoft.com/office/drawing/2014/main" id="{714E5BCB-9420-45B5-ABAE-5770761072B8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" name="Straight Connector 764">
            <a:extLst>
              <a:ext uri="{FF2B5EF4-FFF2-40B4-BE49-F238E27FC236}">
                <a16:creationId xmlns:a16="http://schemas.microsoft.com/office/drawing/2014/main" id="{32CBA0CB-DCA0-4597-9989-0695E3EE9EAF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" name="Straight Connector 768">
            <a:extLst>
              <a:ext uri="{FF2B5EF4-FFF2-40B4-BE49-F238E27FC236}">
                <a16:creationId xmlns:a16="http://schemas.microsoft.com/office/drawing/2014/main" id="{A4C0D9B1-BFA6-42B3-9408-7370CCCCC8DD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" name="Straight Connector 769">
            <a:extLst>
              <a:ext uri="{FF2B5EF4-FFF2-40B4-BE49-F238E27FC236}">
                <a16:creationId xmlns:a16="http://schemas.microsoft.com/office/drawing/2014/main" id="{C212D28A-C544-48E7-B104-06BECAAB671E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Straight Connector 786">
            <a:extLst>
              <a:ext uri="{FF2B5EF4-FFF2-40B4-BE49-F238E27FC236}">
                <a16:creationId xmlns:a16="http://schemas.microsoft.com/office/drawing/2014/main" id="{19A4F7AC-4A9A-4C8A-818A-2439C2F53DCC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" name="Straight Connector 787">
            <a:extLst>
              <a:ext uri="{FF2B5EF4-FFF2-40B4-BE49-F238E27FC236}">
                <a16:creationId xmlns:a16="http://schemas.microsoft.com/office/drawing/2014/main" id="{8BC54800-9991-4061-8D91-B2DF955046BB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21" name="Freeform: Shape 1120">
            <a:extLst>
              <a:ext uri="{FF2B5EF4-FFF2-40B4-BE49-F238E27FC236}">
                <a16:creationId xmlns:a16="http://schemas.microsoft.com/office/drawing/2014/main" id="{5C160E22-11B5-4A09-904C-1E47665F1871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533</xdr:row>
      <xdr:rowOff>61913</xdr:rowOff>
    </xdr:from>
    <xdr:to>
      <xdr:col>31</xdr:col>
      <xdr:colOff>90488</xdr:colOff>
      <xdr:row>566</xdr:row>
      <xdr:rowOff>85725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5BB1F1DA-99EE-4F8C-8DBD-2EA794E359EF}"/>
            </a:ext>
          </a:extLst>
        </xdr:cNvPr>
        <xdr:cNvGrpSpPr/>
      </xdr:nvGrpSpPr>
      <xdr:grpSpPr>
        <a:xfrm>
          <a:off x="395288" y="82643663"/>
          <a:ext cx="4714875" cy="4738687"/>
          <a:chOff x="395288" y="52373213"/>
          <a:chExt cx="4714875" cy="4738687"/>
        </a:xfrm>
      </xdr:grpSpPr>
      <xdr:cxnSp macro="">
        <xdr:nvCxnSpPr>
          <xdr:cNvPr id="1122" name="Straight Connector 1121">
            <a:extLst>
              <a:ext uri="{FF2B5EF4-FFF2-40B4-BE49-F238E27FC236}">
                <a16:creationId xmlns:a16="http://schemas.microsoft.com/office/drawing/2014/main" id="{0D24396A-B908-42C2-B81B-8593C33CC24A}"/>
              </a:ext>
            </a:extLst>
          </xdr:cNvPr>
          <xdr:cNvCxnSpPr/>
        </xdr:nvCxnSpPr>
        <xdr:spPr>
          <a:xfrm flipH="1">
            <a:off x="2757488" y="53035200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3" name="Straight Connector 1142">
            <a:extLst>
              <a:ext uri="{FF2B5EF4-FFF2-40B4-BE49-F238E27FC236}">
                <a16:creationId xmlns:a16="http://schemas.microsoft.com/office/drawing/2014/main" id="{8D81D7BF-3A2A-40B4-962F-10E38A8CB77C}"/>
              </a:ext>
            </a:extLst>
          </xdr:cNvPr>
          <xdr:cNvCxnSpPr/>
        </xdr:nvCxnSpPr>
        <xdr:spPr>
          <a:xfrm>
            <a:off x="1547813" y="53035200"/>
            <a:ext cx="1200150" cy="1975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7" name="Straight Connector 1146">
            <a:extLst>
              <a:ext uri="{FF2B5EF4-FFF2-40B4-BE49-F238E27FC236}">
                <a16:creationId xmlns:a16="http://schemas.microsoft.com/office/drawing/2014/main" id="{D0A02E32-437A-4727-966C-6D6BB1711B3D}"/>
              </a:ext>
            </a:extLst>
          </xdr:cNvPr>
          <xdr:cNvCxnSpPr/>
        </xdr:nvCxnSpPr>
        <xdr:spPr>
          <a:xfrm>
            <a:off x="1133475" y="54202013"/>
            <a:ext cx="1624013" cy="11239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8" name="Straight Connector 1147">
            <a:extLst>
              <a:ext uri="{FF2B5EF4-FFF2-40B4-BE49-F238E27FC236}">
                <a16:creationId xmlns:a16="http://schemas.microsoft.com/office/drawing/2014/main" id="{06D858B8-5EC4-44F3-8DD1-2266DE2A62AC}"/>
              </a:ext>
            </a:extLst>
          </xdr:cNvPr>
          <xdr:cNvCxnSpPr/>
        </xdr:nvCxnSpPr>
        <xdr:spPr>
          <a:xfrm>
            <a:off x="1138238" y="54792563"/>
            <a:ext cx="1614487" cy="6703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0" name="Straight Connector 1149">
            <a:extLst>
              <a:ext uri="{FF2B5EF4-FFF2-40B4-BE49-F238E27FC236}">
                <a16:creationId xmlns:a16="http://schemas.microsoft.com/office/drawing/2014/main" id="{2AB81727-F6DC-404B-B8EA-A5935DA3CABA}"/>
              </a:ext>
            </a:extLst>
          </xdr:cNvPr>
          <xdr:cNvCxnSpPr/>
        </xdr:nvCxnSpPr>
        <xdr:spPr>
          <a:xfrm flipV="1">
            <a:off x="2747963" y="55283100"/>
            <a:ext cx="1628775" cy="41965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1" name="Straight Connector 1150">
            <a:extLst>
              <a:ext uri="{FF2B5EF4-FFF2-40B4-BE49-F238E27FC236}">
                <a16:creationId xmlns:a16="http://schemas.microsoft.com/office/drawing/2014/main" id="{676F0B08-4B76-4777-8C89-6F300354A9B4}"/>
              </a:ext>
            </a:extLst>
          </xdr:cNvPr>
          <xdr:cNvCxnSpPr/>
        </xdr:nvCxnSpPr>
        <xdr:spPr>
          <a:xfrm flipV="1">
            <a:off x="2752725" y="54783038"/>
            <a:ext cx="1619250" cy="67892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2" name="Straight Connector 1151">
            <a:extLst>
              <a:ext uri="{FF2B5EF4-FFF2-40B4-BE49-F238E27FC236}">
                <a16:creationId xmlns:a16="http://schemas.microsoft.com/office/drawing/2014/main" id="{629A6DDC-6F4C-46D6-9E11-6CBA286A2824}"/>
              </a:ext>
            </a:extLst>
          </xdr:cNvPr>
          <xdr:cNvCxnSpPr/>
        </xdr:nvCxnSpPr>
        <xdr:spPr>
          <a:xfrm flipV="1">
            <a:off x="2757488" y="54221063"/>
            <a:ext cx="1614487" cy="110059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3" name="Straight Connector 1152">
            <a:extLst>
              <a:ext uri="{FF2B5EF4-FFF2-40B4-BE49-F238E27FC236}">
                <a16:creationId xmlns:a16="http://schemas.microsoft.com/office/drawing/2014/main" id="{5A41CFEB-0AE6-418A-B3DD-DF797DC503C6}"/>
              </a:ext>
            </a:extLst>
          </xdr:cNvPr>
          <xdr:cNvCxnSpPr/>
        </xdr:nvCxnSpPr>
        <xdr:spPr>
          <a:xfrm flipH="1">
            <a:off x="2757297" y="53020913"/>
            <a:ext cx="1205103" cy="1995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4" name="Straight Connector 1153">
            <a:extLst>
              <a:ext uri="{FF2B5EF4-FFF2-40B4-BE49-F238E27FC236}">
                <a16:creationId xmlns:a16="http://schemas.microsoft.com/office/drawing/2014/main" id="{F825E7BF-6358-4936-86EB-AE1934302CF4}"/>
              </a:ext>
            </a:extLst>
          </xdr:cNvPr>
          <xdr:cNvCxnSpPr/>
        </xdr:nvCxnSpPr>
        <xdr:spPr>
          <a:xfrm flipV="1">
            <a:off x="2867025" y="53030440"/>
            <a:ext cx="457200" cy="142820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6" name="Straight Connector 1155">
            <a:extLst>
              <a:ext uri="{FF2B5EF4-FFF2-40B4-BE49-F238E27FC236}">
                <a16:creationId xmlns:a16="http://schemas.microsoft.com/office/drawing/2014/main" id="{962473E4-E9BE-4DE8-9BC1-7DF72E582AB0}"/>
              </a:ext>
            </a:extLst>
          </xdr:cNvPr>
          <xdr:cNvCxnSpPr/>
        </xdr:nvCxnSpPr>
        <xdr:spPr>
          <a:xfrm flipV="1">
            <a:off x="2752725" y="52887563"/>
            <a:ext cx="0" cy="393382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7" name="Straight Connector 1156">
            <a:extLst>
              <a:ext uri="{FF2B5EF4-FFF2-40B4-BE49-F238E27FC236}">
                <a16:creationId xmlns:a16="http://schemas.microsoft.com/office/drawing/2014/main" id="{D561C214-8FD5-400B-B5E0-6FE4C1EC029C}"/>
              </a:ext>
            </a:extLst>
          </xdr:cNvPr>
          <xdr:cNvCxnSpPr/>
        </xdr:nvCxnSpPr>
        <xdr:spPr>
          <a:xfrm>
            <a:off x="2181225" y="53035200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8" name="Straight Connector 1157">
            <a:extLst>
              <a:ext uri="{FF2B5EF4-FFF2-40B4-BE49-F238E27FC236}">
                <a16:creationId xmlns:a16="http://schemas.microsoft.com/office/drawing/2014/main" id="{11805D15-B41A-4536-935B-418B76546C14}"/>
              </a:ext>
            </a:extLst>
          </xdr:cNvPr>
          <xdr:cNvCxnSpPr/>
        </xdr:nvCxnSpPr>
        <xdr:spPr>
          <a:xfrm>
            <a:off x="1143000" y="53459063"/>
            <a:ext cx="1614488" cy="1719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9" name="Straight Connector 1158">
            <a:extLst>
              <a:ext uri="{FF2B5EF4-FFF2-40B4-BE49-F238E27FC236}">
                <a16:creationId xmlns:a16="http://schemas.microsoft.com/office/drawing/2014/main" id="{7E3801AF-481B-418B-8608-5DE33107976C}"/>
              </a:ext>
            </a:extLst>
          </xdr:cNvPr>
          <xdr:cNvCxnSpPr/>
        </xdr:nvCxnSpPr>
        <xdr:spPr>
          <a:xfrm flipV="1">
            <a:off x="2762250" y="53463825"/>
            <a:ext cx="1604963" cy="1709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0" name="Straight Connector 1159">
            <a:extLst>
              <a:ext uri="{FF2B5EF4-FFF2-40B4-BE49-F238E27FC236}">
                <a16:creationId xmlns:a16="http://schemas.microsoft.com/office/drawing/2014/main" id="{787EAE9A-BED7-4A10-AC7F-EDE876F937C7}"/>
              </a:ext>
            </a:extLst>
          </xdr:cNvPr>
          <xdr:cNvCxnSpPr/>
        </xdr:nvCxnSpPr>
        <xdr:spPr>
          <a:xfrm flipV="1">
            <a:off x="2752725" y="53025675"/>
            <a:ext cx="0" cy="142875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1" name="Straight Connector 1160">
            <a:extLst>
              <a:ext uri="{FF2B5EF4-FFF2-40B4-BE49-F238E27FC236}">
                <a16:creationId xmlns:a16="http://schemas.microsoft.com/office/drawing/2014/main" id="{C2F303F3-9CD8-45E6-920B-882B9BB0CBE3}"/>
              </a:ext>
            </a:extLst>
          </xdr:cNvPr>
          <xdr:cNvCxnSpPr/>
        </xdr:nvCxnSpPr>
        <xdr:spPr>
          <a:xfrm flipH="1" flipV="1">
            <a:off x="2181225" y="53025675"/>
            <a:ext cx="466178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2" name="Straight Connector 1161">
            <a:extLst>
              <a:ext uri="{FF2B5EF4-FFF2-40B4-BE49-F238E27FC236}">
                <a16:creationId xmlns:a16="http://schemas.microsoft.com/office/drawing/2014/main" id="{147DA802-9D33-4513-908D-48C5629582D2}"/>
              </a:ext>
            </a:extLst>
          </xdr:cNvPr>
          <xdr:cNvCxnSpPr/>
        </xdr:nvCxnSpPr>
        <xdr:spPr>
          <a:xfrm flipH="1" flipV="1">
            <a:off x="1547813" y="53030438"/>
            <a:ext cx="1042987" cy="17287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3" name="Straight Connector 1162">
            <a:extLst>
              <a:ext uri="{FF2B5EF4-FFF2-40B4-BE49-F238E27FC236}">
                <a16:creationId xmlns:a16="http://schemas.microsoft.com/office/drawing/2014/main" id="{7D889909-8570-43F4-848D-4290D8FBF036}"/>
              </a:ext>
            </a:extLst>
          </xdr:cNvPr>
          <xdr:cNvCxnSpPr/>
        </xdr:nvCxnSpPr>
        <xdr:spPr>
          <a:xfrm flipH="1">
            <a:off x="2914651" y="53020913"/>
            <a:ext cx="1057274" cy="17287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4" name="Straight Connector 1163">
            <a:extLst>
              <a:ext uri="{FF2B5EF4-FFF2-40B4-BE49-F238E27FC236}">
                <a16:creationId xmlns:a16="http://schemas.microsoft.com/office/drawing/2014/main" id="{3A343F2F-1E0E-4B7C-AA91-688C93EF43E2}"/>
              </a:ext>
            </a:extLst>
          </xdr:cNvPr>
          <xdr:cNvCxnSpPr/>
        </xdr:nvCxnSpPr>
        <xdr:spPr>
          <a:xfrm flipH="1" flipV="1">
            <a:off x="1138239" y="53459063"/>
            <a:ext cx="1462086" cy="15525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5" name="Straight Connector 1164">
            <a:extLst>
              <a:ext uri="{FF2B5EF4-FFF2-40B4-BE49-F238E27FC236}">
                <a16:creationId xmlns:a16="http://schemas.microsoft.com/office/drawing/2014/main" id="{6C405A44-7A52-4B96-9EB9-45540F97D6C4}"/>
              </a:ext>
            </a:extLst>
          </xdr:cNvPr>
          <xdr:cNvCxnSpPr/>
        </xdr:nvCxnSpPr>
        <xdr:spPr>
          <a:xfrm flipH="1">
            <a:off x="2914650" y="53449537"/>
            <a:ext cx="1457325" cy="15668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6" name="Straight Connector 1165">
            <a:extLst>
              <a:ext uri="{FF2B5EF4-FFF2-40B4-BE49-F238E27FC236}">
                <a16:creationId xmlns:a16="http://schemas.microsoft.com/office/drawing/2014/main" id="{1BDEA7AD-71B9-430D-BC89-784147A846FB}"/>
              </a:ext>
            </a:extLst>
          </xdr:cNvPr>
          <xdr:cNvCxnSpPr/>
        </xdr:nvCxnSpPr>
        <xdr:spPr>
          <a:xfrm flipH="1" flipV="1">
            <a:off x="1128713" y="54202013"/>
            <a:ext cx="1462087" cy="1014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7" name="Straight Connector 1166">
            <a:extLst>
              <a:ext uri="{FF2B5EF4-FFF2-40B4-BE49-F238E27FC236}">
                <a16:creationId xmlns:a16="http://schemas.microsoft.com/office/drawing/2014/main" id="{F84142D7-97FE-4B37-9CC5-3FEAD7971C2C}"/>
              </a:ext>
            </a:extLst>
          </xdr:cNvPr>
          <xdr:cNvCxnSpPr/>
        </xdr:nvCxnSpPr>
        <xdr:spPr>
          <a:xfrm flipH="1">
            <a:off x="2919413" y="54216300"/>
            <a:ext cx="1457325" cy="9953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8" name="Straight Connector 1167">
            <a:extLst>
              <a:ext uri="{FF2B5EF4-FFF2-40B4-BE49-F238E27FC236}">
                <a16:creationId xmlns:a16="http://schemas.microsoft.com/office/drawing/2014/main" id="{D27A4ADB-3B82-48FA-99B3-9B1059BE1183}"/>
              </a:ext>
            </a:extLst>
          </xdr:cNvPr>
          <xdr:cNvCxnSpPr/>
        </xdr:nvCxnSpPr>
        <xdr:spPr>
          <a:xfrm flipH="1" flipV="1">
            <a:off x="1138238" y="54792561"/>
            <a:ext cx="1466850" cy="61436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9" name="Straight Connector 1168">
            <a:extLst>
              <a:ext uri="{FF2B5EF4-FFF2-40B4-BE49-F238E27FC236}">
                <a16:creationId xmlns:a16="http://schemas.microsoft.com/office/drawing/2014/main" id="{1834B1C7-7D87-4FEC-81CB-E530DE1CE615}"/>
              </a:ext>
            </a:extLst>
          </xdr:cNvPr>
          <xdr:cNvCxnSpPr/>
        </xdr:nvCxnSpPr>
        <xdr:spPr>
          <a:xfrm flipH="1">
            <a:off x="2914652" y="54783038"/>
            <a:ext cx="1466848" cy="60959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0" name="Straight Connector 1169">
            <a:extLst>
              <a:ext uri="{FF2B5EF4-FFF2-40B4-BE49-F238E27FC236}">
                <a16:creationId xmlns:a16="http://schemas.microsoft.com/office/drawing/2014/main" id="{F88B9E81-4850-44A6-A539-512411B8C7DD}"/>
              </a:ext>
            </a:extLst>
          </xdr:cNvPr>
          <xdr:cNvCxnSpPr/>
        </xdr:nvCxnSpPr>
        <xdr:spPr>
          <a:xfrm flipH="1" flipV="1">
            <a:off x="1133475" y="55273575"/>
            <a:ext cx="1457325" cy="3810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1" name="Straight Connector 1170">
            <a:extLst>
              <a:ext uri="{FF2B5EF4-FFF2-40B4-BE49-F238E27FC236}">
                <a16:creationId xmlns:a16="http://schemas.microsoft.com/office/drawing/2014/main" id="{FE1E115C-6254-4676-AB2D-D3C7A666D014}"/>
              </a:ext>
            </a:extLst>
          </xdr:cNvPr>
          <xdr:cNvCxnSpPr/>
        </xdr:nvCxnSpPr>
        <xdr:spPr>
          <a:xfrm flipH="1">
            <a:off x="2919413" y="55283100"/>
            <a:ext cx="1452562" cy="37623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4" name="Straight Connector 1173">
            <a:extLst>
              <a:ext uri="{FF2B5EF4-FFF2-40B4-BE49-F238E27FC236}">
                <a16:creationId xmlns:a16="http://schemas.microsoft.com/office/drawing/2014/main" id="{E51CAD3C-A2E2-45ED-BEEF-E62041AB648F}"/>
              </a:ext>
            </a:extLst>
          </xdr:cNvPr>
          <xdr:cNvCxnSpPr/>
        </xdr:nvCxnSpPr>
        <xdr:spPr>
          <a:xfrm>
            <a:off x="1066799" y="56740425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5" name="Straight Connector 1174">
            <a:extLst>
              <a:ext uri="{FF2B5EF4-FFF2-40B4-BE49-F238E27FC236}">
                <a16:creationId xmlns:a16="http://schemas.microsoft.com/office/drawing/2014/main" id="{C8B2070A-4C2F-403A-8881-1C39948F2027}"/>
              </a:ext>
            </a:extLst>
          </xdr:cNvPr>
          <xdr:cNvCxnSpPr/>
        </xdr:nvCxnSpPr>
        <xdr:spPr>
          <a:xfrm>
            <a:off x="1133475" y="55930800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6" name="Straight Connector 1175">
            <a:extLst>
              <a:ext uri="{FF2B5EF4-FFF2-40B4-BE49-F238E27FC236}">
                <a16:creationId xmlns:a16="http://schemas.microsoft.com/office/drawing/2014/main" id="{057083E4-49E9-4650-9916-A66E409229BB}"/>
              </a:ext>
            </a:extLst>
          </xdr:cNvPr>
          <xdr:cNvCxnSpPr/>
        </xdr:nvCxnSpPr>
        <xdr:spPr>
          <a:xfrm flipH="1">
            <a:off x="1090613" y="567023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7" name="Straight Connector 1176">
            <a:extLst>
              <a:ext uri="{FF2B5EF4-FFF2-40B4-BE49-F238E27FC236}">
                <a16:creationId xmlns:a16="http://schemas.microsoft.com/office/drawing/2014/main" id="{1E1236BA-5387-497E-9E74-CB9C435D5A4D}"/>
              </a:ext>
            </a:extLst>
          </xdr:cNvPr>
          <xdr:cNvCxnSpPr/>
        </xdr:nvCxnSpPr>
        <xdr:spPr>
          <a:xfrm>
            <a:off x="4371975" y="55930800"/>
            <a:ext cx="0" cy="1181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8" name="Straight Connector 1177">
            <a:extLst>
              <a:ext uri="{FF2B5EF4-FFF2-40B4-BE49-F238E27FC236}">
                <a16:creationId xmlns:a16="http://schemas.microsoft.com/office/drawing/2014/main" id="{9E87CEE1-5429-4BB7-9F62-A93E36B724E2}"/>
              </a:ext>
            </a:extLst>
          </xdr:cNvPr>
          <xdr:cNvCxnSpPr/>
        </xdr:nvCxnSpPr>
        <xdr:spPr>
          <a:xfrm flipH="1">
            <a:off x="4329113" y="567023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9" name="Straight Connector 1178">
            <a:extLst>
              <a:ext uri="{FF2B5EF4-FFF2-40B4-BE49-F238E27FC236}">
                <a16:creationId xmlns:a16="http://schemas.microsoft.com/office/drawing/2014/main" id="{19DF8755-5E1D-4F8F-A843-CAA3192F24EC}"/>
              </a:ext>
            </a:extLst>
          </xdr:cNvPr>
          <xdr:cNvCxnSpPr/>
        </xdr:nvCxnSpPr>
        <xdr:spPr>
          <a:xfrm flipH="1">
            <a:off x="2709862" y="5670232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0" name="Straight Connector 1179">
            <a:extLst>
              <a:ext uri="{FF2B5EF4-FFF2-40B4-BE49-F238E27FC236}">
                <a16:creationId xmlns:a16="http://schemas.microsoft.com/office/drawing/2014/main" id="{60DB7243-2C44-4290-AA90-F5C50428437F}"/>
              </a:ext>
            </a:extLst>
          </xdr:cNvPr>
          <xdr:cNvCxnSpPr/>
        </xdr:nvCxnSpPr>
        <xdr:spPr>
          <a:xfrm>
            <a:off x="1066800" y="56168925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1" name="Straight Connector 1180">
            <a:extLst>
              <a:ext uri="{FF2B5EF4-FFF2-40B4-BE49-F238E27FC236}">
                <a16:creationId xmlns:a16="http://schemas.microsoft.com/office/drawing/2014/main" id="{8B6C3C44-8C6F-44B5-84FC-EF575401DA09}"/>
              </a:ext>
            </a:extLst>
          </xdr:cNvPr>
          <xdr:cNvCxnSpPr/>
        </xdr:nvCxnSpPr>
        <xdr:spPr>
          <a:xfrm>
            <a:off x="2590800" y="559403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2" name="Straight Connector 1181">
            <a:extLst>
              <a:ext uri="{FF2B5EF4-FFF2-40B4-BE49-F238E27FC236}">
                <a16:creationId xmlns:a16="http://schemas.microsoft.com/office/drawing/2014/main" id="{1133980E-6363-4C75-ABF8-D8AD21895A55}"/>
              </a:ext>
            </a:extLst>
          </xdr:cNvPr>
          <xdr:cNvCxnSpPr/>
        </xdr:nvCxnSpPr>
        <xdr:spPr>
          <a:xfrm flipH="1">
            <a:off x="2543175" y="56126062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3" name="Straight Connector 1182">
            <a:extLst>
              <a:ext uri="{FF2B5EF4-FFF2-40B4-BE49-F238E27FC236}">
                <a16:creationId xmlns:a16="http://schemas.microsoft.com/office/drawing/2014/main" id="{9542EFA3-6B47-471E-ADB9-F8C7A4448491}"/>
              </a:ext>
            </a:extLst>
          </xdr:cNvPr>
          <xdr:cNvCxnSpPr/>
        </xdr:nvCxnSpPr>
        <xdr:spPr>
          <a:xfrm>
            <a:off x="2914650" y="55940324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4" name="Straight Connector 1183">
            <a:extLst>
              <a:ext uri="{FF2B5EF4-FFF2-40B4-BE49-F238E27FC236}">
                <a16:creationId xmlns:a16="http://schemas.microsoft.com/office/drawing/2014/main" id="{22B9E3A1-7537-4F6D-B64A-E15C6F4EF563}"/>
              </a:ext>
            </a:extLst>
          </xdr:cNvPr>
          <xdr:cNvCxnSpPr/>
        </xdr:nvCxnSpPr>
        <xdr:spPr>
          <a:xfrm flipH="1">
            <a:off x="2867025" y="5612606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5" name="Straight Connector 1184">
            <a:extLst>
              <a:ext uri="{FF2B5EF4-FFF2-40B4-BE49-F238E27FC236}">
                <a16:creationId xmlns:a16="http://schemas.microsoft.com/office/drawing/2014/main" id="{E580DC19-35CA-495B-8C41-0FD3AE84E4DF}"/>
              </a:ext>
            </a:extLst>
          </xdr:cNvPr>
          <xdr:cNvCxnSpPr/>
        </xdr:nvCxnSpPr>
        <xdr:spPr>
          <a:xfrm>
            <a:off x="1895474" y="55806974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6" name="Straight Connector 1185">
            <a:extLst>
              <a:ext uri="{FF2B5EF4-FFF2-40B4-BE49-F238E27FC236}">
                <a16:creationId xmlns:a16="http://schemas.microsoft.com/office/drawing/2014/main" id="{4AECF7E5-CFBC-4326-B640-D4336E31AD90}"/>
              </a:ext>
            </a:extLst>
          </xdr:cNvPr>
          <xdr:cNvCxnSpPr/>
        </xdr:nvCxnSpPr>
        <xdr:spPr>
          <a:xfrm>
            <a:off x="1819276" y="55806974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7" name="Straight Connector 1186">
            <a:extLst>
              <a:ext uri="{FF2B5EF4-FFF2-40B4-BE49-F238E27FC236}">
                <a16:creationId xmlns:a16="http://schemas.microsoft.com/office/drawing/2014/main" id="{38BD7E65-43C4-4F41-BE5F-4C57D6B9E15F}"/>
              </a:ext>
            </a:extLst>
          </xdr:cNvPr>
          <xdr:cNvCxnSpPr/>
        </xdr:nvCxnSpPr>
        <xdr:spPr>
          <a:xfrm flipH="1">
            <a:off x="1090613" y="56130817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8" name="Straight Connector 1187">
            <a:extLst>
              <a:ext uri="{FF2B5EF4-FFF2-40B4-BE49-F238E27FC236}">
                <a16:creationId xmlns:a16="http://schemas.microsoft.com/office/drawing/2014/main" id="{71E21BF6-1177-4E2C-9BDA-7AA0331D34E3}"/>
              </a:ext>
            </a:extLst>
          </xdr:cNvPr>
          <xdr:cNvCxnSpPr/>
        </xdr:nvCxnSpPr>
        <xdr:spPr>
          <a:xfrm>
            <a:off x="1857375" y="563118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9" name="Straight Connector 1188">
            <a:extLst>
              <a:ext uri="{FF2B5EF4-FFF2-40B4-BE49-F238E27FC236}">
                <a16:creationId xmlns:a16="http://schemas.microsoft.com/office/drawing/2014/main" id="{2D0D882E-725D-48F4-B582-2E4D28DC7B8E}"/>
              </a:ext>
            </a:extLst>
          </xdr:cNvPr>
          <xdr:cNvCxnSpPr/>
        </xdr:nvCxnSpPr>
        <xdr:spPr>
          <a:xfrm>
            <a:off x="3648075" y="5620226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0" name="Straight Connector 1189">
            <a:extLst>
              <a:ext uri="{FF2B5EF4-FFF2-40B4-BE49-F238E27FC236}">
                <a16:creationId xmlns:a16="http://schemas.microsoft.com/office/drawing/2014/main" id="{929757A3-1E7E-439C-9336-58427E360BA7}"/>
              </a:ext>
            </a:extLst>
          </xdr:cNvPr>
          <xdr:cNvCxnSpPr/>
        </xdr:nvCxnSpPr>
        <xdr:spPr>
          <a:xfrm flipH="1">
            <a:off x="3605212" y="5641658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1" name="Straight Connector 1190">
            <a:extLst>
              <a:ext uri="{FF2B5EF4-FFF2-40B4-BE49-F238E27FC236}">
                <a16:creationId xmlns:a16="http://schemas.microsoft.com/office/drawing/2014/main" id="{7D4F052D-DB12-48BE-98F9-C5B6478BC4EB}"/>
              </a:ext>
            </a:extLst>
          </xdr:cNvPr>
          <xdr:cNvCxnSpPr/>
        </xdr:nvCxnSpPr>
        <xdr:spPr>
          <a:xfrm flipV="1">
            <a:off x="1133475" y="52387500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2" name="Straight Connector 1191">
            <a:extLst>
              <a:ext uri="{FF2B5EF4-FFF2-40B4-BE49-F238E27FC236}">
                <a16:creationId xmlns:a16="http://schemas.microsoft.com/office/drawing/2014/main" id="{377D2929-77C5-4134-90DC-9549DEC01A13}"/>
              </a:ext>
            </a:extLst>
          </xdr:cNvPr>
          <xdr:cNvCxnSpPr/>
        </xdr:nvCxnSpPr>
        <xdr:spPr>
          <a:xfrm>
            <a:off x="1062038" y="5273992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3" name="Straight Connector 1192">
            <a:extLst>
              <a:ext uri="{FF2B5EF4-FFF2-40B4-BE49-F238E27FC236}">
                <a16:creationId xmlns:a16="http://schemas.microsoft.com/office/drawing/2014/main" id="{B7077580-C41D-48A1-9FB6-3FC60C5329DF}"/>
              </a:ext>
            </a:extLst>
          </xdr:cNvPr>
          <xdr:cNvCxnSpPr/>
        </xdr:nvCxnSpPr>
        <xdr:spPr>
          <a:xfrm flipH="1">
            <a:off x="1085845" y="527018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4" name="Straight Connector 1193">
            <a:extLst>
              <a:ext uri="{FF2B5EF4-FFF2-40B4-BE49-F238E27FC236}">
                <a16:creationId xmlns:a16="http://schemas.microsoft.com/office/drawing/2014/main" id="{39B326CD-ACB9-42A6-95E9-2F61571CE531}"/>
              </a:ext>
            </a:extLst>
          </xdr:cNvPr>
          <xdr:cNvCxnSpPr/>
        </xdr:nvCxnSpPr>
        <xdr:spPr>
          <a:xfrm>
            <a:off x="1543062" y="5267325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5" name="Straight Connector 1194">
            <a:extLst>
              <a:ext uri="{FF2B5EF4-FFF2-40B4-BE49-F238E27FC236}">
                <a16:creationId xmlns:a16="http://schemas.microsoft.com/office/drawing/2014/main" id="{52780982-DB93-4693-8601-30694DD31EE7}"/>
              </a:ext>
            </a:extLst>
          </xdr:cNvPr>
          <xdr:cNvCxnSpPr/>
        </xdr:nvCxnSpPr>
        <xdr:spPr>
          <a:xfrm flipH="1">
            <a:off x="1500201" y="526970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6" name="Straight Connector 1195">
            <a:extLst>
              <a:ext uri="{FF2B5EF4-FFF2-40B4-BE49-F238E27FC236}">
                <a16:creationId xmlns:a16="http://schemas.microsoft.com/office/drawing/2014/main" id="{5364098E-824E-467B-9C7A-BF69F6CAEA91}"/>
              </a:ext>
            </a:extLst>
          </xdr:cNvPr>
          <xdr:cNvCxnSpPr/>
        </xdr:nvCxnSpPr>
        <xdr:spPr>
          <a:xfrm>
            <a:off x="2752726" y="52373213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7" name="Straight Connector 1196">
            <a:extLst>
              <a:ext uri="{FF2B5EF4-FFF2-40B4-BE49-F238E27FC236}">
                <a16:creationId xmlns:a16="http://schemas.microsoft.com/office/drawing/2014/main" id="{AAAD397B-D686-45AA-B65D-F59CEC18A82F}"/>
              </a:ext>
            </a:extLst>
          </xdr:cNvPr>
          <xdr:cNvCxnSpPr/>
        </xdr:nvCxnSpPr>
        <xdr:spPr>
          <a:xfrm>
            <a:off x="3957641" y="5267801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8" name="Straight Connector 1197">
            <a:extLst>
              <a:ext uri="{FF2B5EF4-FFF2-40B4-BE49-F238E27FC236}">
                <a16:creationId xmlns:a16="http://schemas.microsoft.com/office/drawing/2014/main" id="{FF244455-2FDE-4D25-B8C0-CA72025B4C6B}"/>
              </a:ext>
            </a:extLst>
          </xdr:cNvPr>
          <xdr:cNvCxnSpPr/>
        </xdr:nvCxnSpPr>
        <xdr:spPr>
          <a:xfrm flipH="1">
            <a:off x="3924304" y="5270182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9" name="Straight Connector 1198">
            <a:extLst>
              <a:ext uri="{FF2B5EF4-FFF2-40B4-BE49-F238E27FC236}">
                <a16:creationId xmlns:a16="http://schemas.microsoft.com/office/drawing/2014/main" id="{FE5A1A25-4352-4075-B5FA-2372E858DC72}"/>
              </a:ext>
            </a:extLst>
          </xdr:cNvPr>
          <xdr:cNvCxnSpPr/>
        </xdr:nvCxnSpPr>
        <xdr:spPr>
          <a:xfrm flipV="1">
            <a:off x="4371975" y="52382737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0" name="Straight Connector 1199">
            <a:extLst>
              <a:ext uri="{FF2B5EF4-FFF2-40B4-BE49-F238E27FC236}">
                <a16:creationId xmlns:a16="http://schemas.microsoft.com/office/drawing/2014/main" id="{0A9A3E35-7225-4C7E-A41D-988F3C84FC67}"/>
              </a:ext>
            </a:extLst>
          </xdr:cNvPr>
          <xdr:cNvCxnSpPr/>
        </xdr:nvCxnSpPr>
        <xdr:spPr>
          <a:xfrm flipH="1">
            <a:off x="4329113" y="526970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1" name="Straight Connector 1200">
            <a:extLst>
              <a:ext uri="{FF2B5EF4-FFF2-40B4-BE49-F238E27FC236}">
                <a16:creationId xmlns:a16="http://schemas.microsoft.com/office/drawing/2014/main" id="{ABB3B197-930C-45A5-9BB0-8BE367712D54}"/>
              </a:ext>
            </a:extLst>
          </xdr:cNvPr>
          <xdr:cNvCxnSpPr/>
        </xdr:nvCxnSpPr>
        <xdr:spPr>
          <a:xfrm>
            <a:off x="1057275" y="5245417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2" name="Straight Connector 1201">
            <a:extLst>
              <a:ext uri="{FF2B5EF4-FFF2-40B4-BE49-F238E27FC236}">
                <a16:creationId xmlns:a16="http://schemas.microsoft.com/office/drawing/2014/main" id="{661C7A30-547B-40B4-A408-398E4021C21B}"/>
              </a:ext>
            </a:extLst>
          </xdr:cNvPr>
          <xdr:cNvCxnSpPr/>
        </xdr:nvCxnSpPr>
        <xdr:spPr>
          <a:xfrm flipH="1">
            <a:off x="1085850" y="524160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3" name="Straight Connector 1202">
            <a:extLst>
              <a:ext uri="{FF2B5EF4-FFF2-40B4-BE49-F238E27FC236}">
                <a16:creationId xmlns:a16="http://schemas.microsoft.com/office/drawing/2014/main" id="{6645BD4E-9F64-43E4-8437-6B77215D89BC}"/>
              </a:ext>
            </a:extLst>
          </xdr:cNvPr>
          <xdr:cNvCxnSpPr/>
        </xdr:nvCxnSpPr>
        <xdr:spPr>
          <a:xfrm flipH="1">
            <a:off x="4324350" y="524113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4" name="Straight Connector 1203">
            <a:extLst>
              <a:ext uri="{FF2B5EF4-FFF2-40B4-BE49-F238E27FC236}">
                <a16:creationId xmlns:a16="http://schemas.microsoft.com/office/drawing/2014/main" id="{500AC953-B269-49AC-8E2F-2A3637FF5DE5}"/>
              </a:ext>
            </a:extLst>
          </xdr:cNvPr>
          <xdr:cNvCxnSpPr/>
        </xdr:nvCxnSpPr>
        <xdr:spPr>
          <a:xfrm flipH="1">
            <a:off x="2705101" y="5241131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5" name="Straight Connector 1204">
            <a:extLst>
              <a:ext uri="{FF2B5EF4-FFF2-40B4-BE49-F238E27FC236}">
                <a16:creationId xmlns:a16="http://schemas.microsoft.com/office/drawing/2014/main" id="{CC9B9A12-885F-47D1-BB04-4A230326742E}"/>
              </a:ext>
            </a:extLst>
          </xdr:cNvPr>
          <xdr:cNvCxnSpPr/>
        </xdr:nvCxnSpPr>
        <xdr:spPr>
          <a:xfrm flipH="1">
            <a:off x="2705101" y="527018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6" name="Straight Connector 1205">
            <a:extLst>
              <a:ext uri="{FF2B5EF4-FFF2-40B4-BE49-F238E27FC236}">
                <a16:creationId xmlns:a16="http://schemas.microsoft.com/office/drawing/2014/main" id="{F1FB0CE7-0645-401D-A70E-A2AF54833C7C}"/>
              </a:ext>
            </a:extLst>
          </xdr:cNvPr>
          <xdr:cNvCxnSpPr/>
        </xdr:nvCxnSpPr>
        <xdr:spPr>
          <a:xfrm flipH="1">
            <a:off x="409575" y="5302567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7" name="Straight Connector 1206">
            <a:extLst>
              <a:ext uri="{FF2B5EF4-FFF2-40B4-BE49-F238E27FC236}">
                <a16:creationId xmlns:a16="http://schemas.microsoft.com/office/drawing/2014/main" id="{8484296C-087E-48F2-99C8-18D511C50FD4}"/>
              </a:ext>
            </a:extLst>
          </xdr:cNvPr>
          <xdr:cNvCxnSpPr/>
        </xdr:nvCxnSpPr>
        <xdr:spPr>
          <a:xfrm>
            <a:off x="809626" y="52959000"/>
            <a:ext cx="0" cy="3000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8" name="Straight Connector 1207">
            <a:extLst>
              <a:ext uri="{FF2B5EF4-FFF2-40B4-BE49-F238E27FC236}">
                <a16:creationId xmlns:a16="http://schemas.microsoft.com/office/drawing/2014/main" id="{F6460261-E36C-42DD-805C-6FC7848952C4}"/>
              </a:ext>
            </a:extLst>
          </xdr:cNvPr>
          <xdr:cNvCxnSpPr/>
        </xdr:nvCxnSpPr>
        <xdr:spPr>
          <a:xfrm flipH="1">
            <a:off x="766763" y="5298757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9" name="Straight Connector 1208">
            <a:extLst>
              <a:ext uri="{FF2B5EF4-FFF2-40B4-BE49-F238E27FC236}">
                <a16:creationId xmlns:a16="http://schemas.microsoft.com/office/drawing/2014/main" id="{E33B6B35-05B7-44C3-A770-A47607EB9F1F}"/>
              </a:ext>
            </a:extLst>
          </xdr:cNvPr>
          <xdr:cNvCxnSpPr/>
        </xdr:nvCxnSpPr>
        <xdr:spPr>
          <a:xfrm flipH="1">
            <a:off x="723900" y="5345905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0" name="Straight Connector 1209">
            <a:extLst>
              <a:ext uri="{FF2B5EF4-FFF2-40B4-BE49-F238E27FC236}">
                <a16:creationId xmlns:a16="http://schemas.microsoft.com/office/drawing/2014/main" id="{C7E885F7-777A-49F5-81DE-4F020DA173A0}"/>
              </a:ext>
            </a:extLst>
          </xdr:cNvPr>
          <xdr:cNvCxnSpPr/>
        </xdr:nvCxnSpPr>
        <xdr:spPr>
          <a:xfrm flipH="1">
            <a:off x="762000" y="5342095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1" name="Straight Connector 1210">
            <a:extLst>
              <a:ext uri="{FF2B5EF4-FFF2-40B4-BE49-F238E27FC236}">
                <a16:creationId xmlns:a16="http://schemas.microsoft.com/office/drawing/2014/main" id="{D0D9B237-2245-4979-AD8A-4C11B553CD15}"/>
              </a:ext>
            </a:extLst>
          </xdr:cNvPr>
          <xdr:cNvCxnSpPr/>
        </xdr:nvCxnSpPr>
        <xdr:spPr>
          <a:xfrm flipH="1">
            <a:off x="723900" y="5479256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2" name="Straight Connector 1211">
            <a:extLst>
              <a:ext uri="{FF2B5EF4-FFF2-40B4-BE49-F238E27FC236}">
                <a16:creationId xmlns:a16="http://schemas.microsoft.com/office/drawing/2014/main" id="{D5419855-D6CE-47B1-9985-A44E0B9BB3EF}"/>
              </a:ext>
            </a:extLst>
          </xdr:cNvPr>
          <xdr:cNvCxnSpPr/>
        </xdr:nvCxnSpPr>
        <xdr:spPr>
          <a:xfrm flipH="1">
            <a:off x="762000" y="5475446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3" name="Straight Connector 1212">
            <a:extLst>
              <a:ext uri="{FF2B5EF4-FFF2-40B4-BE49-F238E27FC236}">
                <a16:creationId xmlns:a16="http://schemas.microsoft.com/office/drawing/2014/main" id="{F093F347-263A-497B-AF3E-68E56D804235}"/>
              </a:ext>
            </a:extLst>
          </xdr:cNvPr>
          <xdr:cNvCxnSpPr/>
        </xdr:nvCxnSpPr>
        <xdr:spPr>
          <a:xfrm flipH="1">
            <a:off x="723900" y="5527357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4" name="Straight Connector 1213">
            <a:extLst>
              <a:ext uri="{FF2B5EF4-FFF2-40B4-BE49-F238E27FC236}">
                <a16:creationId xmlns:a16="http://schemas.microsoft.com/office/drawing/2014/main" id="{B1750577-2C06-4B93-B18E-E24206DDBA98}"/>
              </a:ext>
            </a:extLst>
          </xdr:cNvPr>
          <xdr:cNvCxnSpPr/>
        </xdr:nvCxnSpPr>
        <xdr:spPr>
          <a:xfrm flipH="1">
            <a:off x="762000" y="5523547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7" name="Straight Connector 1216">
            <a:extLst>
              <a:ext uri="{FF2B5EF4-FFF2-40B4-BE49-F238E27FC236}">
                <a16:creationId xmlns:a16="http://schemas.microsoft.com/office/drawing/2014/main" id="{E50764C0-5112-4D96-97F3-A585B45185C7}"/>
              </a:ext>
            </a:extLst>
          </xdr:cNvPr>
          <xdr:cNvCxnSpPr/>
        </xdr:nvCxnSpPr>
        <xdr:spPr>
          <a:xfrm flipH="1">
            <a:off x="395288" y="55883159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8" name="Straight Connector 1217">
            <a:extLst>
              <a:ext uri="{FF2B5EF4-FFF2-40B4-BE49-F238E27FC236}">
                <a16:creationId xmlns:a16="http://schemas.microsoft.com/office/drawing/2014/main" id="{D7B2A923-9F36-4FB8-87C3-BEA6B4F284C1}"/>
              </a:ext>
            </a:extLst>
          </xdr:cNvPr>
          <xdr:cNvCxnSpPr/>
        </xdr:nvCxnSpPr>
        <xdr:spPr>
          <a:xfrm flipH="1">
            <a:off x="766764" y="5584506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9" name="Straight Connector 1218">
            <a:extLst>
              <a:ext uri="{FF2B5EF4-FFF2-40B4-BE49-F238E27FC236}">
                <a16:creationId xmlns:a16="http://schemas.microsoft.com/office/drawing/2014/main" id="{DBA531A7-B124-4D00-B5CB-459F8AA1074B}"/>
              </a:ext>
            </a:extLst>
          </xdr:cNvPr>
          <xdr:cNvCxnSpPr/>
        </xdr:nvCxnSpPr>
        <xdr:spPr>
          <a:xfrm>
            <a:off x="485776" y="52954238"/>
            <a:ext cx="0" cy="29956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0" name="Straight Connector 1219">
            <a:extLst>
              <a:ext uri="{FF2B5EF4-FFF2-40B4-BE49-F238E27FC236}">
                <a16:creationId xmlns:a16="http://schemas.microsoft.com/office/drawing/2014/main" id="{07A65123-657B-4345-A076-7CB6C9A3F470}"/>
              </a:ext>
            </a:extLst>
          </xdr:cNvPr>
          <xdr:cNvCxnSpPr/>
        </xdr:nvCxnSpPr>
        <xdr:spPr>
          <a:xfrm flipH="1">
            <a:off x="442913" y="5298281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1" name="Straight Connector 1220">
            <a:extLst>
              <a:ext uri="{FF2B5EF4-FFF2-40B4-BE49-F238E27FC236}">
                <a16:creationId xmlns:a16="http://schemas.microsoft.com/office/drawing/2014/main" id="{C037F1A8-C323-4CD6-BFF4-D25B06CD1E19}"/>
              </a:ext>
            </a:extLst>
          </xdr:cNvPr>
          <xdr:cNvCxnSpPr/>
        </xdr:nvCxnSpPr>
        <xdr:spPr>
          <a:xfrm flipH="1">
            <a:off x="442914" y="5584029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2" name="Straight Connector 1221">
            <a:extLst>
              <a:ext uri="{FF2B5EF4-FFF2-40B4-BE49-F238E27FC236}">
                <a16:creationId xmlns:a16="http://schemas.microsoft.com/office/drawing/2014/main" id="{53FF551B-4B60-4D33-A294-D33F736EE6C2}"/>
              </a:ext>
            </a:extLst>
          </xdr:cNvPr>
          <xdr:cNvCxnSpPr/>
        </xdr:nvCxnSpPr>
        <xdr:spPr>
          <a:xfrm flipH="1">
            <a:off x="723900" y="54202011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3" name="Straight Connector 1222">
            <a:extLst>
              <a:ext uri="{FF2B5EF4-FFF2-40B4-BE49-F238E27FC236}">
                <a16:creationId xmlns:a16="http://schemas.microsoft.com/office/drawing/2014/main" id="{6B8F49A7-656E-4B9A-B6E6-0B56277AEF36}"/>
              </a:ext>
            </a:extLst>
          </xdr:cNvPr>
          <xdr:cNvCxnSpPr/>
        </xdr:nvCxnSpPr>
        <xdr:spPr>
          <a:xfrm flipH="1">
            <a:off x="762000" y="541639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4" name="Straight Connector 1223">
            <a:extLst>
              <a:ext uri="{FF2B5EF4-FFF2-40B4-BE49-F238E27FC236}">
                <a16:creationId xmlns:a16="http://schemas.microsoft.com/office/drawing/2014/main" id="{18612A0D-4405-430A-B713-2C6259131C62}"/>
              </a:ext>
            </a:extLst>
          </xdr:cNvPr>
          <xdr:cNvCxnSpPr/>
        </xdr:nvCxnSpPr>
        <xdr:spPr>
          <a:xfrm>
            <a:off x="4695825" y="52949475"/>
            <a:ext cx="0" cy="2995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5" name="Straight Connector 1224">
            <a:extLst>
              <a:ext uri="{FF2B5EF4-FFF2-40B4-BE49-F238E27FC236}">
                <a16:creationId xmlns:a16="http://schemas.microsoft.com/office/drawing/2014/main" id="{6AC6731E-FF37-4EDA-A691-562F76293040}"/>
              </a:ext>
            </a:extLst>
          </xdr:cNvPr>
          <xdr:cNvCxnSpPr/>
        </xdr:nvCxnSpPr>
        <xdr:spPr>
          <a:xfrm>
            <a:off x="4414838" y="55883160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6" name="Straight Connector 1225">
            <a:extLst>
              <a:ext uri="{FF2B5EF4-FFF2-40B4-BE49-F238E27FC236}">
                <a16:creationId xmlns:a16="http://schemas.microsoft.com/office/drawing/2014/main" id="{0486099C-DF50-4CC6-9690-E130695B7488}"/>
              </a:ext>
            </a:extLst>
          </xdr:cNvPr>
          <xdr:cNvCxnSpPr/>
        </xdr:nvCxnSpPr>
        <xdr:spPr>
          <a:xfrm>
            <a:off x="4410075" y="5302567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7" name="Straight Connector 1226">
            <a:extLst>
              <a:ext uri="{FF2B5EF4-FFF2-40B4-BE49-F238E27FC236}">
                <a16:creationId xmlns:a16="http://schemas.microsoft.com/office/drawing/2014/main" id="{D8C7347B-EF2B-42DC-80C0-EB5C9CA11360}"/>
              </a:ext>
            </a:extLst>
          </xdr:cNvPr>
          <xdr:cNvCxnSpPr/>
        </xdr:nvCxnSpPr>
        <xdr:spPr>
          <a:xfrm flipH="1">
            <a:off x="4648200" y="5298757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8" name="Straight Connector 1227">
            <a:extLst>
              <a:ext uri="{FF2B5EF4-FFF2-40B4-BE49-F238E27FC236}">
                <a16:creationId xmlns:a16="http://schemas.microsoft.com/office/drawing/2014/main" id="{CB33AB1B-6B4C-487E-9F68-59EC810980D8}"/>
              </a:ext>
            </a:extLst>
          </xdr:cNvPr>
          <xdr:cNvCxnSpPr/>
        </xdr:nvCxnSpPr>
        <xdr:spPr>
          <a:xfrm flipH="1">
            <a:off x="4648201" y="5584029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9" name="Straight Connector 1228">
            <a:extLst>
              <a:ext uri="{FF2B5EF4-FFF2-40B4-BE49-F238E27FC236}">
                <a16:creationId xmlns:a16="http://schemas.microsoft.com/office/drawing/2014/main" id="{F4597EFB-EFD5-47E7-8A5B-1E9FAB745FBC}"/>
              </a:ext>
            </a:extLst>
          </xdr:cNvPr>
          <xdr:cNvCxnSpPr/>
        </xdr:nvCxnSpPr>
        <xdr:spPr>
          <a:xfrm>
            <a:off x="3638550" y="54597300"/>
            <a:ext cx="1128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0" name="Straight Connector 1229">
            <a:extLst>
              <a:ext uri="{FF2B5EF4-FFF2-40B4-BE49-F238E27FC236}">
                <a16:creationId xmlns:a16="http://schemas.microsoft.com/office/drawing/2014/main" id="{11BDDDE5-000F-40CE-9B35-6FA951F7CFAD}"/>
              </a:ext>
            </a:extLst>
          </xdr:cNvPr>
          <xdr:cNvCxnSpPr/>
        </xdr:nvCxnSpPr>
        <xdr:spPr>
          <a:xfrm flipH="1">
            <a:off x="4652964" y="545544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1" name="Straight Connector 1230">
            <a:extLst>
              <a:ext uri="{FF2B5EF4-FFF2-40B4-BE49-F238E27FC236}">
                <a16:creationId xmlns:a16="http://schemas.microsoft.com/office/drawing/2014/main" id="{41F75D2C-80EF-4D36-B723-F7F3F2B0A75D}"/>
              </a:ext>
            </a:extLst>
          </xdr:cNvPr>
          <xdr:cNvCxnSpPr/>
        </xdr:nvCxnSpPr>
        <xdr:spPr>
          <a:xfrm>
            <a:off x="3238500" y="54387750"/>
            <a:ext cx="0" cy="15573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2" name="Straight Connector 1231">
            <a:extLst>
              <a:ext uri="{FF2B5EF4-FFF2-40B4-BE49-F238E27FC236}">
                <a16:creationId xmlns:a16="http://schemas.microsoft.com/office/drawing/2014/main" id="{EE3F6AAB-CD79-4F6A-97F2-B22608A9E304}"/>
              </a:ext>
            </a:extLst>
          </xdr:cNvPr>
          <xdr:cNvCxnSpPr/>
        </xdr:nvCxnSpPr>
        <xdr:spPr>
          <a:xfrm>
            <a:off x="1147763" y="55278338"/>
            <a:ext cx="1604962" cy="4202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3" name="Straight Connector 1232">
            <a:extLst>
              <a:ext uri="{FF2B5EF4-FFF2-40B4-BE49-F238E27FC236}">
                <a16:creationId xmlns:a16="http://schemas.microsoft.com/office/drawing/2014/main" id="{741B0B53-B4A6-4277-AFC2-4B3744978754}"/>
              </a:ext>
            </a:extLst>
          </xdr:cNvPr>
          <xdr:cNvCxnSpPr/>
        </xdr:nvCxnSpPr>
        <xdr:spPr>
          <a:xfrm flipH="1">
            <a:off x="3186112" y="5440680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4" name="Straight Connector 1233">
            <a:extLst>
              <a:ext uri="{FF2B5EF4-FFF2-40B4-BE49-F238E27FC236}">
                <a16:creationId xmlns:a16="http://schemas.microsoft.com/office/drawing/2014/main" id="{5DC07A34-3EEC-428F-B3A2-B1472B008356}"/>
              </a:ext>
            </a:extLst>
          </xdr:cNvPr>
          <xdr:cNvCxnSpPr/>
        </xdr:nvCxnSpPr>
        <xdr:spPr>
          <a:xfrm flipH="1">
            <a:off x="2581275" y="54163913"/>
            <a:ext cx="2428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5" name="Straight Connector 1234">
            <a:extLst>
              <a:ext uri="{FF2B5EF4-FFF2-40B4-BE49-F238E27FC236}">
                <a16:creationId xmlns:a16="http://schemas.microsoft.com/office/drawing/2014/main" id="{328BD99E-6EA8-4E06-9309-C411B416035F}"/>
              </a:ext>
            </a:extLst>
          </xdr:cNvPr>
          <xdr:cNvCxnSpPr/>
        </xdr:nvCxnSpPr>
        <xdr:spPr>
          <a:xfrm>
            <a:off x="2647955" y="54068659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6" name="Straight Connector 1235">
            <a:extLst>
              <a:ext uri="{FF2B5EF4-FFF2-40B4-BE49-F238E27FC236}">
                <a16:creationId xmlns:a16="http://schemas.microsoft.com/office/drawing/2014/main" id="{22B5DFB5-4089-431C-945A-5421AACE1E6E}"/>
              </a:ext>
            </a:extLst>
          </xdr:cNvPr>
          <xdr:cNvCxnSpPr/>
        </xdr:nvCxnSpPr>
        <xdr:spPr>
          <a:xfrm flipH="1">
            <a:off x="2595568" y="54121047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7" name="Straight Connector 1236">
            <a:extLst>
              <a:ext uri="{FF2B5EF4-FFF2-40B4-BE49-F238E27FC236}">
                <a16:creationId xmlns:a16="http://schemas.microsoft.com/office/drawing/2014/main" id="{A51EAF48-D6CD-4295-8F4D-23A18A1B4611}"/>
              </a:ext>
            </a:extLst>
          </xdr:cNvPr>
          <xdr:cNvCxnSpPr/>
        </xdr:nvCxnSpPr>
        <xdr:spPr>
          <a:xfrm flipH="1">
            <a:off x="2700338" y="54121050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8" name="Straight Connector 1237">
            <a:extLst>
              <a:ext uri="{FF2B5EF4-FFF2-40B4-BE49-F238E27FC236}">
                <a16:creationId xmlns:a16="http://schemas.microsoft.com/office/drawing/2014/main" id="{9145A1F0-7A5C-4D4D-96CC-2B40A2A38C88}"/>
              </a:ext>
            </a:extLst>
          </xdr:cNvPr>
          <xdr:cNvCxnSpPr/>
        </xdr:nvCxnSpPr>
        <xdr:spPr>
          <a:xfrm flipV="1">
            <a:off x="1857375" y="54602063"/>
            <a:ext cx="0" cy="13477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9" name="Straight Connector 1238">
            <a:extLst>
              <a:ext uri="{FF2B5EF4-FFF2-40B4-BE49-F238E27FC236}">
                <a16:creationId xmlns:a16="http://schemas.microsoft.com/office/drawing/2014/main" id="{11DFC9ED-B1EE-4468-A9CB-2F7CDA1A2821}"/>
              </a:ext>
            </a:extLst>
          </xdr:cNvPr>
          <xdr:cNvCxnSpPr/>
        </xdr:nvCxnSpPr>
        <xdr:spPr>
          <a:xfrm flipV="1">
            <a:off x="3648075" y="54621113"/>
            <a:ext cx="0" cy="1262063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40" name="Arc 1239">
            <a:extLst>
              <a:ext uri="{FF2B5EF4-FFF2-40B4-BE49-F238E27FC236}">
                <a16:creationId xmlns:a16="http://schemas.microsoft.com/office/drawing/2014/main" id="{77D444B5-6CE4-4585-ABA8-863A029F91E0}"/>
              </a:ext>
            </a:extLst>
          </xdr:cNvPr>
          <xdr:cNvSpPr/>
        </xdr:nvSpPr>
        <xdr:spPr>
          <a:xfrm rot="16200000">
            <a:off x="1857375" y="53721000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41" name="Straight Connector 1240">
            <a:extLst>
              <a:ext uri="{FF2B5EF4-FFF2-40B4-BE49-F238E27FC236}">
                <a16:creationId xmlns:a16="http://schemas.microsoft.com/office/drawing/2014/main" id="{5A48E38D-1187-4227-8477-467291DFE935}"/>
              </a:ext>
            </a:extLst>
          </xdr:cNvPr>
          <xdr:cNvCxnSpPr/>
        </xdr:nvCxnSpPr>
        <xdr:spPr>
          <a:xfrm>
            <a:off x="1057275" y="56454675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2" name="Straight Connector 1241">
            <a:extLst>
              <a:ext uri="{FF2B5EF4-FFF2-40B4-BE49-F238E27FC236}">
                <a16:creationId xmlns:a16="http://schemas.microsoft.com/office/drawing/2014/main" id="{F6C44A14-1264-4E3B-A875-E4BB7BEEC0EC}"/>
              </a:ext>
            </a:extLst>
          </xdr:cNvPr>
          <xdr:cNvCxnSpPr/>
        </xdr:nvCxnSpPr>
        <xdr:spPr>
          <a:xfrm flipH="1">
            <a:off x="1814513" y="5641181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3" name="Straight Connector 1242">
            <a:extLst>
              <a:ext uri="{FF2B5EF4-FFF2-40B4-BE49-F238E27FC236}">
                <a16:creationId xmlns:a16="http://schemas.microsoft.com/office/drawing/2014/main" id="{875452A5-1916-4818-A213-DBD22557FADD}"/>
              </a:ext>
            </a:extLst>
          </xdr:cNvPr>
          <xdr:cNvCxnSpPr/>
        </xdr:nvCxnSpPr>
        <xdr:spPr>
          <a:xfrm flipH="1">
            <a:off x="4329114" y="5613082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4" name="Straight Connector 1243">
            <a:extLst>
              <a:ext uri="{FF2B5EF4-FFF2-40B4-BE49-F238E27FC236}">
                <a16:creationId xmlns:a16="http://schemas.microsoft.com/office/drawing/2014/main" id="{0DEFFCA7-B4B4-4B7F-A6F6-520818363247}"/>
              </a:ext>
            </a:extLst>
          </xdr:cNvPr>
          <xdr:cNvCxnSpPr/>
        </xdr:nvCxnSpPr>
        <xdr:spPr>
          <a:xfrm>
            <a:off x="2181237" y="52668488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5" name="Straight Connector 1244">
            <a:extLst>
              <a:ext uri="{FF2B5EF4-FFF2-40B4-BE49-F238E27FC236}">
                <a16:creationId xmlns:a16="http://schemas.microsoft.com/office/drawing/2014/main" id="{A55D0FDD-96AD-4D6E-814E-0DFB82613F8C}"/>
              </a:ext>
            </a:extLst>
          </xdr:cNvPr>
          <xdr:cNvCxnSpPr/>
        </xdr:nvCxnSpPr>
        <xdr:spPr>
          <a:xfrm flipH="1">
            <a:off x="2138376" y="526923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6" name="Straight Connector 1245">
            <a:extLst>
              <a:ext uri="{FF2B5EF4-FFF2-40B4-BE49-F238E27FC236}">
                <a16:creationId xmlns:a16="http://schemas.microsoft.com/office/drawing/2014/main" id="{D9EA24FF-9778-4086-AF9C-16F21952FFD3}"/>
              </a:ext>
            </a:extLst>
          </xdr:cNvPr>
          <xdr:cNvCxnSpPr/>
        </xdr:nvCxnSpPr>
        <xdr:spPr>
          <a:xfrm>
            <a:off x="3319474" y="5267801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7" name="Straight Connector 1246">
            <a:extLst>
              <a:ext uri="{FF2B5EF4-FFF2-40B4-BE49-F238E27FC236}">
                <a16:creationId xmlns:a16="http://schemas.microsoft.com/office/drawing/2014/main" id="{A5C23BA3-F253-4C40-9536-87B6A5EDEC6C}"/>
              </a:ext>
            </a:extLst>
          </xdr:cNvPr>
          <xdr:cNvCxnSpPr/>
        </xdr:nvCxnSpPr>
        <xdr:spPr>
          <a:xfrm flipH="1">
            <a:off x="3271850" y="5270182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8" name="Straight Connector 1247">
            <a:extLst>
              <a:ext uri="{FF2B5EF4-FFF2-40B4-BE49-F238E27FC236}">
                <a16:creationId xmlns:a16="http://schemas.microsoft.com/office/drawing/2014/main" id="{68F81108-227C-4F35-B02D-288F481236A1}"/>
              </a:ext>
            </a:extLst>
          </xdr:cNvPr>
          <xdr:cNvCxnSpPr/>
        </xdr:nvCxnSpPr>
        <xdr:spPr>
          <a:xfrm>
            <a:off x="1066799" y="57026174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9" name="Straight Connector 1248">
            <a:extLst>
              <a:ext uri="{FF2B5EF4-FFF2-40B4-BE49-F238E27FC236}">
                <a16:creationId xmlns:a16="http://schemas.microsoft.com/office/drawing/2014/main" id="{798146F8-D24C-42A8-B560-4F9181340E1F}"/>
              </a:ext>
            </a:extLst>
          </xdr:cNvPr>
          <xdr:cNvCxnSpPr/>
        </xdr:nvCxnSpPr>
        <xdr:spPr>
          <a:xfrm flipH="1">
            <a:off x="1090613" y="569880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0" name="Straight Connector 1249">
            <a:extLst>
              <a:ext uri="{FF2B5EF4-FFF2-40B4-BE49-F238E27FC236}">
                <a16:creationId xmlns:a16="http://schemas.microsoft.com/office/drawing/2014/main" id="{DF725336-92CE-46C2-A872-B1A3CCFAB19D}"/>
              </a:ext>
            </a:extLst>
          </xdr:cNvPr>
          <xdr:cNvCxnSpPr/>
        </xdr:nvCxnSpPr>
        <xdr:spPr>
          <a:xfrm flipH="1">
            <a:off x="4329113" y="569880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1" name="Straight Connector 1250">
            <a:extLst>
              <a:ext uri="{FF2B5EF4-FFF2-40B4-BE49-F238E27FC236}">
                <a16:creationId xmlns:a16="http://schemas.microsoft.com/office/drawing/2014/main" id="{F0872056-E21B-4877-8172-B8094D59C40C}"/>
              </a:ext>
            </a:extLst>
          </xdr:cNvPr>
          <xdr:cNvCxnSpPr/>
        </xdr:nvCxnSpPr>
        <xdr:spPr>
          <a:xfrm flipH="1">
            <a:off x="1090612" y="564165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2" name="Straight Connector 1251">
            <a:extLst>
              <a:ext uri="{FF2B5EF4-FFF2-40B4-BE49-F238E27FC236}">
                <a16:creationId xmlns:a16="http://schemas.microsoft.com/office/drawing/2014/main" id="{70B3E484-6B9C-47CB-867C-FC4CDC812095}"/>
              </a:ext>
            </a:extLst>
          </xdr:cNvPr>
          <xdr:cNvCxnSpPr/>
        </xdr:nvCxnSpPr>
        <xdr:spPr>
          <a:xfrm flipH="1">
            <a:off x="4329112" y="564165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3" name="Straight Connector 1252">
            <a:extLst>
              <a:ext uri="{FF2B5EF4-FFF2-40B4-BE49-F238E27FC236}">
                <a16:creationId xmlns:a16="http://schemas.microsoft.com/office/drawing/2014/main" id="{3765937E-F115-4D84-8E06-AD643B309BBA}"/>
              </a:ext>
            </a:extLst>
          </xdr:cNvPr>
          <xdr:cNvCxnSpPr/>
        </xdr:nvCxnSpPr>
        <xdr:spPr>
          <a:xfrm flipH="1">
            <a:off x="2709862" y="5641657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4" name="Straight Connector 1253">
            <a:extLst>
              <a:ext uri="{FF2B5EF4-FFF2-40B4-BE49-F238E27FC236}">
                <a16:creationId xmlns:a16="http://schemas.microsoft.com/office/drawing/2014/main" id="{A919D2F1-C26F-4BA8-9921-D9361122F7EC}"/>
              </a:ext>
            </a:extLst>
          </xdr:cNvPr>
          <xdr:cNvCxnSpPr/>
        </xdr:nvCxnSpPr>
        <xdr:spPr>
          <a:xfrm>
            <a:off x="2762250" y="5479732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5" name="Straight Connector 1254">
            <a:extLst>
              <a:ext uri="{FF2B5EF4-FFF2-40B4-BE49-F238E27FC236}">
                <a16:creationId xmlns:a16="http://schemas.microsoft.com/office/drawing/2014/main" id="{91AF226E-3D2F-49F0-BC39-D6E279EE514F}"/>
              </a:ext>
            </a:extLst>
          </xdr:cNvPr>
          <xdr:cNvCxnSpPr/>
        </xdr:nvCxnSpPr>
        <xdr:spPr>
          <a:xfrm>
            <a:off x="2938462" y="54454425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56" name="Oval 1255">
            <a:extLst>
              <a:ext uri="{FF2B5EF4-FFF2-40B4-BE49-F238E27FC236}">
                <a16:creationId xmlns:a16="http://schemas.microsoft.com/office/drawing/2014/main" id="{B4D6CE01-B92D-4637-9CB3-2E60D9D380D6}"/>
              </a:ext>
            </a:extLst>
          </xdr:cNvPr>
          <xdr:cNvSpPr/>
        </xdr:nvSpPr>
        <xdr:spPr>
          <a:xfrm>
            <a:off x="2729866" y="5456967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57" name="Straight Connector 1256">
            <a:extLst>
              <a:ext uri="{FF2B5EF4-FFF2-40B4-BE49-F238E27FC236}">
                <a16:creationId xmlns:a16="http://schemas.microsoft.com/office/drawing/2014/main" id="{1BF06A3B-34E5-4621-A419-BC38E618F5DA}"/>
              </a:ext>
            </a:extLst>
          </xdr:cNvPr>
          <xdr:cNvCxnSpPr/>
        </xdr:nvCxnSpPr>
        <xdr:spPr>
          <a:xfrm>
            <a:off x="2195513" y="54597300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8" name="Straight Connector 1257">
            <a:extLst>
              <a:ext uri="{FF2B5EF4-FFF2-40B4-BE49-F238E27FC236}">
                <a16:creationId xmlns:a16="http://schemas.microsoft.com/office/drawing/2014/main" id="{060A1269-3184-4D2D-A8B9-7616AD359FD0}"/>
              </a:ext>
            </a:extLst>
          </xdr:cNvPr>
          <xdr:cNvCxnSpPr/>
        </xdr:nvCxnSpPr>
        <xdr:spPr>
          <a:xfrm flipV="1">
            <a:off x="2266950" y="54397275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9" name="Straight Connector 1258">
            <a:extLst>
              <a:ext uri="{FF2B5EF4-FFF2-40B4-BE49-F238E27FC236}">
                <a16:creationId xmlns:a16="http://schemas.microsoft.com/office/drawing/2014/main" id="{C982CD2C-AF80-4BB8-B295-66D3206107E8}"/>
              </a:ext>
            </a:extLst>
          </xdr:cNvPr>
          <xdr:cNvCxnSpPr/>
        </xdr:nvCxnSpPr>
        <xdr:spPr>
          <a:xfrm flipH="1">
            <a:off x="2190750" y="5445442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0" name="Straight Connector 1259">
            <a:extLst>
              <a:ext uri="{FF2B5EF4-FFF2-40B4-BE49-F238E27FC236}">
                <a16:creationId xmlns:a16="http://schemas.microsoft.com/office/drawing/2014/main" id="{373F4D38-31FF-4A52-9FBC-A3B1FE2765C8}"/>
              </a:ext>
            </a:extLst>
          </xdr:cNvPr>
          <xdr:cNvCxnSpPr/>
        </xdr:nvCxnSpPr>
        <xdr:spPr>
          <a:xfrm flipH="1">
            <a:off x="2224088" y="54421088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1" name="Straight Connector 1260">
            <a:extLst>
              <a:ext uri="{FF2B5EF4-FFF2-40B4-BE49-F238E27FC236}">
                <a16:creationId xmlns:a16="http://schemas.microsoft.com/office/drawing/2014/main" id="{D4382D13-A643-4B52-8C91-58917C2A5DA4}"/>
              </a:ext>
            </a:extLst>
          </xdr:cNvPr>
          <xdr:cNvCxnSpPr/>
        </xdr:nvCxnSpPr>
        <xdr:spPr>
          <a:xfrm flipH="1">
            <a:off x="2228850" y="54559200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2" name="Straight Connector 1261">
            <a:extLst>
              <a:ext uri="{FF2B5EF4-FFF2-40B4-BE49-F238E27FC236}">
                <a16:creationId xmlns:a16="http://schemas.microsoft.com/office/drawing/2014/main" id="{B239BCFB-159C-47A6-9DFE-45317638620B}"/>
              </a:ext>
            </a:extLst>
          </xdr:cNvPr>
          <xdr:cNvCxnSpPr/>
        </xdr:nvCxnSpPr>
        <xdr:spPr>
          <a:xfrm flipH="1">
            <a:off x="3190874" y="5475446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3" name="Straight Connector 1262">
            <a:extLst>
              <a:ext uri="{FF2B5EF4-FFF2-40B4-BE49-F238E27FC236}">
                <a16:creationId xmlns:a16="http://schemas.microsoft.com/office/drawing/2014/main" id="{3BEB22DA-FFEE-4EA4-B2B3-A05FAD8F3723}"/>
              </a:ext>
            </a:extLst>
          </xdr:cNvPr>
          <xdr:cNvCxnSpPr/>
        </xdr:nvCxnSpPr>
        <xdr:spPr>
          <a:xfrm>
            <a:off x="2767012" y="5501640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4" name="Straight Connector 1263">
            <a:extLst>
              <a:ext uri="{FF2B5EF4-FFF2-40B4-BE49-F238E27FC236}">
                <a16:creationId xmlns:a16="http://schemas.microsoft.com/office/drawing/2014/main" id="{29CD156B-76C0-4F97-A48D-BC7C216B7137}"/>
              </a:ext>
            </a:extLst>
          </xdr:cNvPr>
          <xdr:cNvCxnSpPr/>
        </xdr:nvCxnSpPr>
        <xdr:spPr>
          <a:xfrm flipH="1">
            <a:off x="3195636" y="549735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5" name="Straight Connector 1264">
            <a:extLst>
              <a:ext uri="{FF2B5EF4-FFF2-40B4-BE49-F238E27FC236}">
                <a16:creationId xmlns:a16="http://schemas.microsoft.com/office/drawing/2014/main" id="{70D4D448-F3E2-450C-9FEF-F8A587544B19}"/>
              </a:ext>
            </a:extLst>
          </xdr:cNvPr>
          <xdr:cNvCxnSpPr/>
        </xdr:nvCxnSpPr>
        <xdr:spPr>
          <a:xfrm>
            <a:off x="2762249" y="553259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6" name="Straight Connector 1265">
            <a:extLst>
              <a:ext uri="{FF2B5EF4-FFF2-40B4-BE49-F238E27FC236}">
                <a16:creationId xmlns:a16="http://schemas.microsoft.com/office/drawing/2014/main" id="{4207A857-740F-4633-B335-C7DE6A4CDDD2}"/>
              </a:ext>
            </a:extLst>
          </xdr:cNvPr>
          <xdr:cNvCxnSpPr/>
        </xdr:nvCxnSpPr>
        <xdr:spPr>
          <a:xfrm flipH="1">
            <a:off x="3190873" y="552831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7" name="Straight Connector 1266">
            <a:extLst>
              <a:ext uri="{FF2B5EF4-FFF2-40B4-BE49-F238E27FC236}">
                <a16:creationId xmlns:a16="http://schemas.microsoft.com/office/drawing/2014/main" id="{C25B648F-036E-4E44-84AA-4A67C066D701}"/>
              </a:ext>
            </a:extLst>
          </xdr:cNvPr>
          <xdr:cNvCxnSpPr/>
        </xdr:nvCxnSpPr>
        <xdr:spPr>
          <a:xfrm>
            <a:off x="2762248" y="557069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8" name="Straight Connector 1267">
            <a:extLst>
              <a:ext uri="{FF2B5EF4-FFF2-40B4-BE49-F238E27FC236}">
                <a16:creationId xmlns:a16="http://schemas.microsoft.com/office/drawing/2014/main" id="{7944FC4E-C576-4ED2-B46C-D0F100DCF1B1}"/>
              </a:ext>
            </a:extLst>
          </xdr:cNvPr>
          <xdr:cNvCxnSpPr/>
        </xdr:nvCxnSpPr>
        <xdr:spPr>
          <a:xfrm flipH="1">
            <a:off x="3190872" y="556641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1" name="Straight Connector 1270">
            <a:extLst>
              <a:ext uri="{FF2B5EF4-FFF2-40B4-BE49-F238E27FC236}">
                <a16:creationId xmlns:a16="http://schemas.microsoft.com/office/drawing/2014/main" id="{E5730EB7-8991-49C6-A1C7-28E214CE0EA4}"/>
              </a:ext>
            </a:extLst>
          </xdr:cNvPr>
          <xdr:cNvCxnSpPr/>
        </xdr:nvCxnSpPr>
        <xdr:spPr>
          <a:xfrm>
            <a:off x="2762248" y="5545931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2" name="Straight Connector 1271">
            <a:extLst>
              <a:ext uri="{FF2B5EF4-FFF2-40B4-BE49-F238E27FC236}">
                <a16:creationId xmlns:a16="http://schemas.microsoft.com/office/drawing/2014/main" id="{ADB0914D-D446-4B2F-8022-41AD2B9615B3}"/>
              </a:ext>
            </a:extLst>
          </xdr:cNvPr>
          <xdr:cNvCxnSpPr/>
        </xdr:nvCxnSpPr>
        <xdr:spPr>
          <a:xfrm flipH="1">
            <a:off x="3190872" y="554164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3" name="Straight Connector 1272">
            <a:extLst>
              <a:ext uri="{FF2B5EF4-FFF2-40B4-BE49-F238E27FC236}">
                <a16:creationId xmlns:a16="http://schemas.microsoft.com/office/drawing/2014/main" id="{C6B19798-8F51-49A3-92B7-6F3C1A8BE0BE}"/>
              </a:ext>
            </a:extLst>
          </xdr:cNvPr>
          <xdr:cNvCxnSpPr/>
        </xdr:nvCxnSpPr>
        <xdr:spPr>
          <a:xfrm>
            <a:off x="2762248" y="5516880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4" name="Straight Connector 1273">
            <a:extLst>
              <a:ext uri="{FF2B5EF4-FFF2-40B4-BE49-F238E27FC236}">
                <a16:creationId xmlns:a16="http://schemas.microsoft.com/office/drawing/2014/main" id="{4CF1C861-0997-42E7-97BB-A38AC12F9A4D}"/>
              </a:ext>
            </a:extLst>
          </xdr:cNvPr>
          <xdr:cNvCxnSpPr/>
        </xdr:nvCxnSpPr>
        <xdr:spPr>
          <a:xfrm flipH="1">
            <a:off x="3190872" y="551259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75" name="Oval 1274">
            <a:extLst>
              <a:ext uri="{FF2B5EF4-FFF2-40B4-BE49-F238E27FC236}">
                <a16:creationId xmlns:a16="http://schemas.microsoft.com/office/drawing/2014/main" id="{C6BDF388-AE3D-4447-B470-EBAF3580C408}"/>
              </a:ext>
            </a:extLst>
          </xdr:cNvPr>
          <xdr:cNvSpPr/>
        </xdr:nvSpPr>
        <xdr:spPr>
          <a:xfrm>
            <a:off x="1833563" y="54568725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76" name="Oval 1275">
            <a:extLst>
              <a:ext uri="{FF2B5EF4-FFF2-40B4-BE49-F238E27FC236}">
                <a16:creationId xmlns:a16="http://schemas.microsoft.com/office/drawing/2014/main" id="{733D8EB8-DC39-487B-AA2D-9E56F583D789}"/>
              </a:ext>
            </a:extLst>
          </xdr:cNvPr>
          <xdr:cNvSpPr/>
        </xdr:nvSpPr>
        <xdr:spPr>
          <a:xfrm>
            <a:off x="3624263" y="5457348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77" name="Straight Connector 1276">
            <a:extLst>
              <a:ext uri="{FF2B5EF4-FFF2-40B4-BE49-F238E27FC236}">
                <a16:creationId xmlns:a16="http://schemas.microsoft.com/office/drawing/2014/main" id="{CD11FDA9-1A92-4E50-A149-82A7D3F0ACBC}"/>
              </a:ext>
            </a:extLst>
          </xdr:cNvPr>
          <xdr:cNvCxnSpPr/>
        </xdr:nvCxnSpPr>
        <xdr:spPr>
          <a:xfrm>
            <a:off x="4781550" y="54454425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8" name="Straight Connector 1277">
            <a:extLst>
              <a:ext uri="{FF2B5EF4-FFF2-40B4-BE49-F238E27FC236}">
                <a16:creationId xmlns:a16="http://schemas.microsoft.com/office/drawing/2014/main" id="{D6094D10-301C-48B9-B594-692621001DEA}"/>
              </a:ext>
            </a:extLst>
          </xdr:cNvPr>
          <xdr:cNvCxnSpPr/>
        </xdr:nvCxnSpPr>
        <xdr:spPr>
          <a:xfrm>
            <a:off x="5019675" y="52949475"/>
            <a:ext cx="0" cy="30051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9" name="Straight Connector 1278">
            <a:extLst>
              <a:ext uri="{FF2B5EF4-FFF2-40B4-BE49-F238E27FC236}">
                <a16:creationId xmlns:a16="http://schemas.microsoft.com/office/drawing/2014/main" id="{E19FE5FC-F6D2-4F6F-ACD8-5539270DE421}"/>
              </a:ext>
            </a:extLst>
          </xdr:cNvPr>
          <xdr:cNvCxnSpPr/>
        </xdr:nvCxnSpPr>
        <xdr:spPr>
          <a:xfrm flipH="1">
            <a:off x="4981576" y="55835535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0" name="Straight Connector 1279">
            <a:extLst>
              <a:ext uri="{FF2B5EF4-FFF2-40B4-BE49-F238E27FC236}">
                <a16:creationId xmlns:a16="http://schemas.microsoft.com/office/drawing/2014/main" id="{B8243D39-6ADA-4EA0-98CA-A0F024F2C1B7}"/>
              </a:ext>
            </a:extLst>
          </xdr:cNvPr>
          <xdr:cNvCxnSpPr/>
        </xdr:nvCxnSpPr>
        <xdr:spPr>
          <a:xfrm flipH="1">
            <a:off x="4976814" y="544115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1" name="Straight Connector 1280">
            <a:extLst>
              <a:ext uri="{FF2B5EF4-FFF2-40B4-BE49-F238E27FC236}">
                <a16:creationId xmlns:a16="http://schemas.microsoft.com/office/drawing/2014/main" id="{9A76018C-49CB-4A3A-B11C-3C486511CF0D}"/>
              </a:ext>
            </a:extLst>
          </xdr:cNvPr>
          <xdr:cNvCxnSpPr/>
        </xdr:nvCxnSpPr>
        <xdr:spPr>
          <a:xfrm>
            <a:off x="3509962" y="54454425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2" name="Straight Connector 1281">
            <a:extLst>
              <a:ext uri="{FF2B5EF4-FFF2-40B4-BE49-F238E27FC236}">
                <a16:creationId xmlns:a16="http://schemas.microsoft.com/office/drawing/2014/main" id="{8E378A6A-EE5D-431C-A54A-56173225EB3D}"/>
              </a:ext>
            </a:extLst>
          </xdr:cNvPr>
          <xdr:cNvCxnSpPr/>
        </xdr:nvCxnSpPr>
        <xdr:spPr>
          <a:xfrm>
            <a:off x="4410075" y="54454425"/>
            <a:ext cx="2571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3" name="Straight Connector 1282">
            <a:extLst>
              <a:ext uri="{FF2B5EF4-FFF2-40B4-BE49-F238E27FC236}">
                <a16:creationId xmlns:a16="http://schemas.microsoft.com/office/drawing/2014/main" id="{9ECA37E2-3A9E-425A-A2F5-6DF80C60DCC0}"/>
              </a:ext>
            </a:extLst>
          </xdr:cNvPr>
          <xdr:cNvCxnSpPr/>
        </xdr:nvCxnSpPr>
        <xdr:spPr>
          <a:xfrm flipH="1">
            <a:off x="4976813" y="52978050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5" name="Straight Connector 1284">
            <a:extLst>
              <a:ext uri="{FF2B5EF4-FFF2-40B4-BE49-F238E27FC236}">
                <a16:creationId xmlns:a16="http://schemas.microsoft.com/office/drawing/2014/main" id="{568A6E88-699D-41F5-92C4-EB7E18EFBEF9}"/>
              </a:ext>
            </a:extLst>
          </xdr:cNvPr>
          <xdr:cNvCxnSpPr/>
        </xdr:nvCxnSpPr>
        <xdr:spPr>
          <a:xfrm flipH="1">
            <a:off x="3190875" y="558355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31</xdr:col>
      <xdr:colOff>141387</xdr:colOff>
      <xdr:row>536</xdr:row>
      <xdr:rowOff>133352</xdr:rowOff>
    </xdr:from>
    <xdr:to>
      <xdr:col>55</xdr:col>
      <xdr:colOff>1489</xdr:colOff>
      <xdr:row>557</xdr:row>
      <xdr:rowOff>85725</xdr:rowOff>
    </xdr:to>
    <xdr:pic>
      <xdr:nvPicPr>
        <xdr:cNvPr id="1286" name="Picture 1285">
          <a:extLst>
            <a:ext uri="{FF2B5EF4-FFF2-40B4-BE49-F238E27FC236}">
              <a16:creationId xmlns:a16="http://schemas.microsoft.com/office/drawing/2014/main" id="{60191F6E-BC28-4F20-8E45-6665AC7749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52" t="36524" r="54771" b="39912"/>
        <a:stretch/>
      </xdr:blipFill>
      <xdr:spPr bwMode="auto">
        <a:xfrm>
          <a:off x="5161062" y="52873277"/>
          <a:ext cx="3746302" cy="2952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76200</xdr:colOff>
      <xdr:row>576</xdr:row>
      <xdr:rowOff>47625</xdr:rowOff>
    </xdr:from>
    <xdr:to>
      <xdr:col>57</xdr:col>
      <xdr:colOff>142875</xdr:colOff>
      <xdr:row>577</xdr:row>
      <xdr:rowOff>66675</xdr:rowOff>
    </xdr:to>
    <xdr:cxnSp macro="">
      <xdr:nvCxnSpPr>
        <xdr:cNvPr id="1287" name="Straight Arrow Connector 1286">
          <a:extLst>
            <a:ext uri="{FF2B5EF4-FFF2-40B4-BE49-F238E27FC236}">
              <a16:creationId xmlns:a16="http://schemas.microsoft.com/office/drawing/2014/main" id="{B08F3C57-978E-4EAF-9561-979697866195}"/>
            </a:ext>
          </a:extLst>
        </xdr:cNvPr>
        <xdr:cNvCxnSpPr/>
      </xdr:nvCxnSpPr>
      <xdr:spPr>
        <a:xfrm flipH="1" flipV="1">
          <a:off x="8982075" y="20450175"/>
          <a:ext cx="3905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85725</xdr:colOff>
      <xdr:row>596</xdr:row>
      <xdr:rowOff>66675</xdr:rowOff>
    </xdr:from>
    <xdr:to>
      <xdr:col>46</xdr:col>
      <xdr:colOff>8164</xdr:colOff>
      <xdr:row>602</xdr:row>
      <xdr:rowOff>1360</xdr:rowOff>
    </xdr:to>
    <xdr:grpSp>
      <xdr:nvGrpSpPr>
        <xdr:cNvPr id="1288" name="Group 1287">
          <a:extLst>
            <a:ext uri="{FF2B5EF4-FFF2-40B4-BE49-F238E27FC236}">
              <a16:creationId xmlns:a16="http://schemas.microsoft.com/office/drawing/2014/main" id="{D269694C-16B4-4C0F-8F37-B75CF800BE94}"/>
            </a:ext>
          </a:extLst>
        </xdr:cNvPr>
        <xdr:cNvGrpSpPr/>
      </xdr:nvGrpSpPr>
      <xdr:grpSpPr>
        <a:xfrm>
          <a:off x="5753100" y="92144850"/>
          <a:ext cx="1703614" cy="791935"/>
          <a:chOff x="6076950" y="10163175"/>
          <a:chExt cx="1703614" cy="791935"/>
        </a:xfrm>
      </xdr:grpSpPr>
      <xdr:sp macro="" textlink="">
        <xdr:nvSpPr>
          <xdr:cNvPr id="1289" name="Freeform: Shape 1288">
            <a:extLst>
              <a:ext uri="{FF2B5EF4-FFF2-40B4-BE49-F238E27FC236}">
                <a16:creationId xmlns:a16="http://schemas.microsoft.com/office/drawing/2014/main" id="{B071E313-EFE2-4AC0-8A43-5CE2F4015341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90" name="Freeform: Shape 1289">
            <a:extLst>
              <a:ext uri="{FF2B5EF4-FFF2-40B4-BE49-F238E27FC236}">
                <a16:creationId xmlns:a16="http://schemas.microsoft.com/office/drawing/2014/main" id="{852B7699-3C5F-446C-BF7E-1CEE0146DB2F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91" name="Freeform: Shape 1290">
            <a:extLst>
              <a:ext uri="{FF2B5EF4-FFF2-40B4-BE49-F238E27FC236}">
                <a16:creationId xmlns:a16="http://schemas.microsoft.com/office/drawing/2014/main" id="{4DFAB5D8-C3B2-4502-9B95-BFA208ECF01E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292" name="Straight Connector 1291">
            <a:extLst>
              <a:ext uri="{FF2B5EF4-FFF2-40B4-BE49-F238E27FC236}">
                <a16:creationId xmlns:a16="http://schemas.microsoft.com/office/drawing/2014/main" id="{AAEB8BE1-65B8-4E2D-A66A-81BECD20F4CF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3" name="Straight Connector 1292">
            <a:extLst>
              <a:ext uri="{FF2B5EF4-FFF2-40B4-BE49-F238E27FC236}">
                <a16:creationId xmlns:a16="http://schemas.microsoft.com/office/drawing/2014/main" id="{35B913EF-06E2-4B68-BCCD-67316EF284D7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4" name="Straight Connector 1293">
            <a:extLst>
              <a:ext uri="{FF2B5EF4-FFF2-40B4-BE49-F238E27FC236}">
                <a16:creationId xmlns:a16="http://schemas.microsoft.com/office/drawing/2014/main" id="{1AC47EFC-2321-4F70-AED3-1A55208CE734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5" name="Straight Connector 1294">
            <a:extLst>
              <a:ext uri="{FF2B5EF4-FFF2-40B4-BE49-F238E27FC236}">
                <a16:creationId xmlns:a16="http://schemas.microsoft.com/office/drawing/2014/main" id="{11110CE4-B33D-4418-A090-A87388DFAC7B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6" name="Straight Connector 1295">
            <a:extLst>
              <a:ext uri="{FF2B5EF4-FFF2-40B4-BE49-F238E27FC236}">
                <a16:creationId xmlns:a16="http://schemas.microsoft.com/office/drawing/2014/main" id="{A07513D0-8CDE-4716-B87D-D1E43A1CE73D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7" name="Straight Connector 1296">
            <a:extLst>
              <a:ext uri="{FF2B5EF4-FFF2-40B4-BE49-F238E27FC236}">
                <a16:creationId xmlns:a16="http://schemas.microsoft.com/office/drawing/2014/main" id="{EEA63386-20F5-4057-B223-6EA40A543EAB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8" name="Straight Connector 1297">
            <a:extLst>
              <a:ext uri="{FF2B5EF4-FFF2-40B4-BE49-F238E27FC236}">
                <a16:creationId xmlns:a16="http://schemas.microsoft.com/office/drawing/2014/main" id="{8573434A-4B65-47F9-9CF5-822E61779431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9" name="Straight Connector 1298">
            <a:extLst>
              <a:ext uri="{FF2B5EF4-FFF2-40B4-BE49-F238E27FC236}">
                <a16:creationId xmlns:a16="http://schemas.microsoft.com/office/drawing/2014/main" id="{49FE2383-CDAC-41F9-ABE7-5B627D28D7B0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0" name="Straight Connector 1299">
            <a:extLst>
              <a:ext uri="{FF2B5EF4-FFF2-40B4-BE49-F238E27FC236}">
                <a16:creationId xmlns:a16="http://schemas.microsoft.com/office/drawing/2014/main" id="{F45C2E22-5256-474F-B148-EB2D4AE347A7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1" name="Straight Connector 1300">
            <a:extLst>
              <a:ext uri="{FF2B5EF4-FFF2-40B4-BE49-F238E27FC236}">
                <a16:creationId xmlns:a16="http://schemas.microsoft.com/office/drawing/2014/main" id="{29437F3A-8BDF-4666-A0AD-ED6920EA0745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02" name="Freeform: Shape 1301">
            <a:extLst>
              <a:ext uri="{FF2B5EF4-FFF2-40B4-BE49-F238E27FC236}">
                <a16:creationId xmlns:a16="http://schemas.microsoft.com/office/drawing/2014/main" id="{D93136FC-0E79-4EFE-A015-8A248B90102A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34</xdr:col>
      <xdr:colOff>19051</xdr:colOff>
      <xdr:row>573</xdr:row>
      <xdr:rowOff>103769</xdr:rowOff>
    </xdr:from>
    <xdr:to>
      <xdr:col>52</xdr:col>
      <xdr:colOff>9525</xdr:colOff>
      <xdr:row>595</xdr:row>
      <xdr:rowOff>115307</xdr:rowOff>
    </xdr:to>
    <xdr:pic>
      <xdr:nvPicPr>
        <xdr:cNvPr id="1443" name="Picture 1442">
          <a:extLst>
            <a:ext uri="{FF2B5EF4-FFF2-40B4-BE49-F238E27FC236}">
              <a16:creationId xmlns:a16="http://schemas.microsoft.com/office/drawing/2014/main" id="{1E2D507D-39E1-4138-8212-986B590D2C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14" t="46833" r="42256" b="32695"/>
        <a:stretch/>
      </xdr:blipFill>
      <xdr:spPr bwMode="auto">
        <a:xfrm>
          <a:off x="5524501" y="58625369"/>
          <a:ext cx="2905124" cy="3154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71438</xdr:colOff>
      <xdr:row>570</xdr:row>
      <xdr:rowOff>61913</xdr:rowOff>
    </xdr:from>
    <xdr:to>
      <xdr:col>31</xdr:col>
      <xdr:colOff>90488</xdr:colOff>
      <xdr:row>603</xdr:row>
      <xdr:rowOff>85725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81031690-2B07-4B61-9433-B36B8C425AF8}"/>
            </a:ext>
          </a:extLst>
        </xdr:cNvPr>
        <xdr:cNvGrpSpPr/>
      </xdr:nvGrpSpPr>
      <xdr:grpSpPr>
        <a:xfrm>
          <a:off x="395288" y="88425338"/>
          <a:ext cx="4714875" cy="4738687"/>
          <a:chOff x="395288" y="31313438"/>
          <a:chExt cx="4714875" cy="4738687"/>
        </a:xfrm>
      </xdr:grpSpPr>
      <xdr:cxnSp macro="">
        <xdr:nvCxnSpPr>
          <xdr:cNvPr id="1304" name="Straight Connector 1303">
            <a:extLst>
              <a:ext uri="{FF2B5EF4-FFF2-40B4-BE49-F238E27FC236}">
                <a16:creationId xmlns:a16="http://schemas.microsoft.com/office/drawing/2014/main" id="{BB664ACE-2305-48A1-8F15-904EE681840E}"/>
              </a:ext>
            </a:extLst>
          </xdr:cNvPr>
          <xdr:cNvCxnSpPr/>
        </xdr:nvCxnSpPr>
        <xdr:spPr>
          <a:xfrm>
            <a:off x="3238500" y="33327975"/>
            <a:ext cx="0" cy="15573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5" name="Straight Connector 1304">
            <a:extLst>
              <a:ext uri="{FF2B5EF4-FFF2-40B4-BE49-F238E27FC236}">
                <a16:creationId xmlns:a16="http://schemas.microsoft.com/office/drawing/2014/main" id="{70EE755C-FA8C-45E8-99EB-9EFC869AC669}"/>
              </a:ext>
            </a:extLst>
          </xdr:cNvPr>
          <xdr:cNvCxnSpPr/>
        </xdr:nvCxnSpPr>
        <xdr:spPr>
          <a:xfrm flipH="1">
            <a:off x="2757488" y="31970663"/>
            <a:ext cx="319087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6" name="Straight Connector 1305">
            <a:extLst>
              <a:ext uri="{FF2B5EF4-FFF2-40B4-BE49-F238E27FC236}">
                <a16:creationId xmlns:a16="http://schemas.microsoft.com/office/drawing/2014/main" id="{3C889571-81CE-4620-903A-E3E927260BB5}"/>
              </a:ext>
            </a:extLst>
          </xdr:cNvPr>
          <xdr:cNvCxnSpPr/>
        </xdr:nvCxnSpPr>
        <xdr:spPr>
          <a:xfrm>
            <a:off x="1666875" y="31970663"/>
            <a:ext cx="1081088" cy="1980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7" name="Straight Connector 1306">
            <a:extLst>
              <a:ext uri="{FF2B5EF4-FFF2-40B4-BE49-F238E27FC236}">
                <a16:creationId xmlns:a16="http://schemas.microsoft.com/office/drawing/2014/main" id="{63B712FD-8FCA-4B7F-AD22-BE5D784BD9C2}"/>
              </a:ext>
            </a:extLst>
          </xdr:cNvPr>
          <xdr:cNvCxnSpPr/>
        </xdr:nvCxnSpPr>
        <xdr:spPr>
          <a:xfrm>
            <a:off x="1133475" y="32785050"/>
            <a:ext cx="1624013" cy="1481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8" name="Straight Connector 1307">
            <a:extLst>
              <a:ext uri="{FF2B5EF4-FFF2-40B4-BE49-F238E27FC236}">
                <a16:creationId xmlns:a16="http://schemas.microsoft.com/office/drawing/2014/main" id="{4813075B-C5F1-4538-93D6-6A0E9601D829}"/>
              </a:ext>
            </a:extLst>
          </xdr:cNvPr>
          <xdr:cNvCxnSpPr/>
        </xdr:nvCxnSpPr>
        <xdr:spPr>
          <a:xfrm>
            <a:off x="1138238" y="33570863"/>
            <a:ext cx="1614487" cy="8322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0" name="Straight Connector 1309">
            <a:extLst>
              <a:ext uri="{FF2B5EF4-FFF2-40B4-BE49-F238E27FC236}">
                <a16:creationId xmlns:a16="http://schemas.microsoft.com/office/drawing/2014/main" id="{B5B9C036-5111-42C8-8E0C-65AE0E1D3B8B}"/>
              </a:ext>
            </a:extLst>
          </xdr:cNvPr>
          <xdr:cNvCxnSpPr/>
        </xdr:nvCxnSpPr>
        <xdr:spPr>
          <a:xfrm flipV="1">
            <a:off x="2747963" y="34089975"/>
            <a:ext cx="1624012" cy="55301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1" name="Straight Connector 1310">
            <a:extLst>
              <a:ext uri="{FF2B5EF4-FFF2-40B4-BE49-F238E27FC236}">
                <a16:creationId xmlns:a16="http://schemas.microsoft.com/office/drawing/2014/main" id="{6C68C963-FF49-4230-AE8B-9A91C7C72EC1}"/>
              </a:ext>
            </a:extLst>
          </xdr:cNvPr>
          <xdr:cNvCxnSpPr/>
        </xdr:nvCxnSpPr>
        <xdr:spPr>
          <a:xfrm flipV="1">
            <a:off x="2752725" y="33561338"/>
            <a:ext cx="1624013" cy="8408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2" name="Straight Connector 1311">
            <a:extLst>
              <a:ext uri="{FF2B5EF4-FFF2-40B4-BE49-F238E27FC236}">
                <a16:creationId xmlns:a16="http://schemas.microsoft.com/office/drawing/2014/main" id="{1FCF88ED-70C8-494F-B61D-D3F014926991}"/>
              </a:ext>
            </a:extLst>
          </xdr:cNvPr>
          <xdr:cNvCxnSpPr/>
        </xdr:nvCxnSpPr>
        <xdr:spPr>
          <a:xfrm flipV="1">
            <a:off x="2757488" y="32804100"/>
            <a:ext cx="1619250" cy="14577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3" name="Straight Connector 1312">
            <a:extLst>
              <a:ext uri="{FF2B5EF4-FFF2-40B4-BE49-F238E27FC236}">
                <a16:creationId xmlns:a16="http://schemas.microsoft.com/office/drawing/2014/main" id="{FC657023-C1EC-4E98-8BC7-A95B287BC511}"/>
              </a:ext>
            </a:extLst>
          </xdr:cNvPr>
          <xdr:cNvCxnSpPr/>
        </xdr:nvCxnSpPr>
        <xdr:spPr>
          <a:xfrm flipH="1">
            <a:off x="2757299" y="31965900"/>
            <a:ext cx="1076514" cy="1990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4" name="Straight Connector 1313">
            <a:extLst>
              <a:ext uri="{FF2B5EF4-FFF2-40B4-BE49-F238E27FC236}">
                <a16:creationId xmlns:a16="http://schemas.microsoft.com/office/drawing/2014/main" id="{7774720C-D2DA-4CD7-8686-08299C29F5D4}"/>
              </a:ext>
            </a:extLst>
          </xdr:cNvPr>
          <xdr:cNvCxnSpPr/>
        </xdr:nvCxnSpPr>
        <xdr:spPr>
          <a:xfrm flipV="1">
            <a:off x="2824163" y="31970663"/>
            <a:ext cx="252412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6" name="Straight Connector 1315">
            <a:extLst>
              <a:ext uri="{FF2B5EF4-FFF2-40B4-BE49-F238E27FC236}">
                <a16:creationId xmlns:a16="http://schemas.microsoft.com/office/drawing/2014/main" id="{B930AFA2-2AE6-489C-B140-FE0DFC8175E6}"/>
              </a:ext>
            </a:extLst>
          </xdr:cNvPr>
          <xdr:cNvCxnSpPr/>
        </xdr:nvCxnSpPr>
        <xdr:spPr>
          <a:xfrm flipV="1">
            <a:off x="2752725" y="31827788"/>
            <a:ext cx="0" cy="393382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7" name="Straight Connector 1316">
            <a:extLst>
              <a:ext uri="{FF2B5EF4-FFF2-40B4-BE49-F238E27FC236}">
                <a16:creationId xmlns:a16="http://schemas.microsoft.com/office/drawing/2014/main" id="{C37E8E60-00F3-4A7A-9E8D-338060A06FD0}"/>
              </a:ext>
            </a:extLst>
          </xdr:cNvPr>
          <xdr:cNvCxnSpPr/>
        </xdr:nvCxnSpPr>
        <xdr:spPr>
          <a:xfrm>
            <a:off x="2424113" y="31980188"/>
            <a:ext cx="333375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8" name="Straight Connector 1317">
            <a:extLst>
              <a:ext uri="{FF2B5EF4-FFF2-40B4-BE49-F238E27FC236}">
                <a16:creationId xmlns:a16="http://schemas.microsoft.com/office/drawing/2014/main" id="{B4EDDB7A-82DC-458D-A51D-E9B49F68375A}"/>
              </a:ext>
            </a:extLst>
          </xdr:cNvPr>
          <xdr:cNvCxnSpPr/>
        </xdr:nvCxnSpPr>
        <xdr:spPr>
          <a:xfrm>
            <a:off x="1143000" y="32104013"/>
            <a:ext cx="1614488" cy="2014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9" name="Straight Connector 1318">
            <a:extLst>
              <a:ext uri="{FF2B5EF4-FFF2-40B4-BE49-F238E27FC236}">
                <a16:creationId xmlns:a16="http://schemas.microsoft.com/office/drawing/2014/main" id="{C4E565B0-A623-49F7-802D-B9B755402178}"/>
              </a:ext>
            </a:extLst>
          </xdr:cNvPr>
          <xdr:cNvCxnSpPr/>
        </xdr:nvCxnSpPr>
        <xdr:spPr>
          <a:xfrm flipV="1">
            <a:off x="2762250" y="32113538"/>
            <a:ext cx="1619250" cy="2000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0" name="Straight Connector 1319">
            <a:extLst>
              <a:ext uri="{FF2B5EF4-FFF2-40B4-BE49-F238E27FC236}">
                <a16:creationId xmlns:a16="http://schemas.microsoft.com/office/drawing/2014/main" id="{E699BFF9-0F31-4316-A3A6-DE5587B6555D}"/>
              </a:ext>
            </a:extLst>
          </xdr:cNvPr>
          <xdr:cNvCxnSpPr/>
        </xdr:nvCxnSpPr>
        <xdr:spPr>
          <a:xfrm flipH="1" flipV="1">
            <a:off x="2419350" y="31961138"/>
            <a:ext cx="266701" cy="14335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1" name="Straight Connector 1320">
            <a:extLst>
              <a:ext uri="{FF2B5EF4-FFF2-40B4-BE49-F238E27FC236}">
                <a16:creationId xmlns:a16="http://schemas.microsoft.com/office/drawing/2014/main" id="{13AE7DFB-50B5-49AE-8526-F4821F656A0D}"/>
              </a:ext>
            </a:extLst>
          </xdr:cNvPr>
          <xdr:cNvCxnSpPr/>
        </xdr:nvCxnSpPr>
        <xdr:spPr>
          <a:xfrm flipH="1" flipV="1">
            <a:off x="1671639" y="31970664"/>
            <a:ext cx="928686" cy="170497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2" name="Straight Connector 1321">
            <a:extLst>
              <a:ext uri="{FF2B5EF4-FFF2-40B4-BE49-F238E27FC236}">
                <a16:creationId xmlns:a16="http://schemas.microsoft.com/office/drawing/2014/main" id="{66C08593-A25D-41F6-A935-DABE4C7CCDF9}"/>
              </a:ext>
            </a:extLst>
          </xdr:cNvPr>
          <xdr:cNvCxnSpPr/>
        </xdr:nvCxnSpPr>
        <xdr:spPr>
          <a:xfrm flipH="1">
            <a:off x="2909888" y="31970663"/>
            <a:ext cx="923925" cy="1704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3" name="Straight Connector 1322">
            <a:extLst>
              <a:ext uri="{FF2B5EF4-FFF2-40B4-BE49-F238E27FC236}">
                <a16:creationId xmlns:a16="http://schemas.microsoft.com/office/drawing/2014/main" id="{6B4DE4C9-06EA-4CA0-BB1D-8328ED170337}"/>
              </a:ext>
            </a:extLst>
          </xdr:cNvPr>
          <xdr:cNvCxnSpPr/>
        </xdr:nvCxnSpPr>
        <xdr:spPr>
          <a:xfrm flipH="1" flipV="1">
            <a:off x="1133476" y="32108775"/>
            <a:ext cx="1457324" cy="18049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4" name="Straight Connector 1323">
            <a:extLst>
              <a:ext uri="{FF2B5EF4-FFF2-40B4-BE49-F238E27FC236}">
                <a16:creationId xmlns:a16="http://schemas.microsoft.com/office/drawing/2014/main" id="{133C3B49-049C-472B-A50C-20E2865E3DF5}"/>
              </a:ext>
            </a:extLst>
          </xdr:cNvPr>
          <xdr:cNvCxnSpPr/>
        </xdr:nvCxnSpPr>
        <xdr:spPr>
          <a:xfrm flipH="1">
            <a:off x="2919413" y="32113538"/>
            <a:ext cx="1457326" cy="18049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5" name="Straight Connector 1324">
            <a:extLst>
              <a:ext uri="{FF2B5EF4-FFF2-40B4-BE49-F238E27FC236}">
                <a16:creationId xmlns:a16="http://schemas.microsoft.com/office/drawing/2014/main" id="{09E8B53A-2E68-42A3-9B1F-E82E59CF703B}"/>
              </a:ext>
            </a:extLst>
          </xdr:cNvPr>
          <xdr:cNvCxnSpPr/>
        </xdr:nvCxnSpPr>
        <xdr:spPr>
          <a:xfrm flipH="1" flipV="1">
            <a:off x="1133475" y="32794575"/>
            <a:ext cx="1457325" cy="13144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6" name="Straight Connector 1325">
            <a:extLst>
              <a:ext uri="{FF2B5EF4-FFF2-40B4-BE49-F238E27FC236}">
                <a16:creationId xmlns:a16="http://schemas.microsoft.com/office/drawing/2014/main" id="{5E6C2C1F-1B73-4A74-8A63-3ACAE65655E5}"/>
              </a:ext>
            </a:extLst>
          </xdr:cNvPr>
          <xdr:cNvCxnSpPr/>
        </xdr:nvCxnSpPr>
        <xdr:spPr>
          <a:xfrm flipH="1">
            <a:off x="2914650" y="32799338"/>
            <a:ext cx="1462088" cy="1323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7" name="Straight Connector 1326">
            <a:extLst>
              <a:ext uri="{FF2B5EF4-FFF2-40B4-BE49-F238E27FC236}">
                <a16:creationId xmlns:a16="http://schemas.microsoft.com/office/drawing/2014/main" id="{15CDED51-2284-4E02-B6B8-905A1A6A2CC8}"/>
              </a:ext>
            </a:extLst>
          </xdr:cNvPr>
          <xdr:cNvCxnSpPr/>
        </xdr:nvCxnSpPr>
        <xdr:spPr>
          <a:xfrm flipH="1" flipV="1">
            <a:off x="1138239" y="33575626"/>
            <a:ext cx="1452561" cy="74294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8" name="Straight Connector 1327">
            <a:extLst>
              <a:ext uri="{FF2B5EF4-FFF2-40B4-BE49-F238E27FC236}">
                <a16:creationId xmlns:a16="http://schemas.microsoft.com/office/drawing/2014/main" id="{D0FE27AE-5349-4055-B731-38E138CC3BDB}"/>
              </a:ext>
            </a:extLst>
          </xdr:cNvPr>
          <xdr:cNvCxnSpPr/>
        </xdr:nvCxnSpPr>
        <xdr:spPr>
          <a:xfrm flipH="1">
            <a:off x="2914650" y="33566100"/>
            <a:ext cx="1462088" cy="7524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9" name="Straight Connector 1328">
            <a:extLst>
              <a:ext uri="{FF2B5EF4-FFF2-40B4-BE49-F238E27FC236}">
                <a16:creationId xmlns:a16="http://schemas.microsoft.com/office/drawing/2014/main" id="{DFA406C9-E0A5-48F8-8D29-3CB61E7BA63B}"/>
              </a:ext>
            </a:extLst>
          </xdr:cNvPr>
          <xdr:cNvCxnSpPr/>
        </xdr:nvCxnSpPr>
        <xdr:spPr>
          <a:xfrm flipH="1" flipV="1">
            <a:off x="1143001" y="34089976"/>
            <a:ext cx="1447799" cy="49529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0" name="Straight Connector 1329">
            <a:extLst>
              <a:ext uri="{FF2B5EF4-FFF2-40B4-BE49-F238E27FC236}">
                <a16:creationId xmlns:a16="http://schemas.microsoft.com/office/drawing/2014/main" id="{D7C47DCE-B657-4617-8AFF-E4CE25EF7926}"/>
              </a:ext>
            </a:extLst>
          </xdr:cNvPr>
          <xdr:cNvCxnSpPr/>
        </xdr:nvCxnSpPr>
        <xdr:spPr>
          <a:xfrm flipH="1">
            <a:off x="2914650" y="34089975"/>
            <a:ext cx="1457326" cy="5000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3" name="Straight Connector 1332">
            <a:extLst>
              <a:ext uri="{FF2B5EF4-FFF2-40B4-BE49-F238E27FC236}">
                <a16:creationId xmlns:a16="http://schemas.microsoft.com/office/drawing/2014/main" id="{85CFAF75-E84D-4ADE-BB16-A6C248CCC836}"/>
              </a:ext>
            </a:extLst>
          </xdr:cNvPr>
          <xdr:cNvCxnSpPr/>
        </xdr:nvCxnSpPr>
        <xdr:spPr>
          <a:xfrm>
            <a:off x="1066799" y="35680650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4" name="Straight Connector 1333">
            <a:extLst>
              <a:ext uri="{FF2B5EF4-FFF2-40B4-BE49-F238E27FC236}">
                <a16:creationId xmlns:a16="http://schemas.microsoft.com/office/drawing/2014/main" id="{1C878B02-C077-47A5-A854-E80C0C471067}"/>
              </a:ext>
            </a:extLst>
          </xdr:cNvPr>
          <xdr:cNvCxnSpPr/>
        </xdr:nvCxnSpPr>
        <xdr:spPr>
          <a:xfrm>
            <a:off x="1133475" y="34871025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5" name="Straight Connector 1334">
            <a:extLst>
              <a:ext uri="{FF2B5EF4-FFF2-40B4-BE49-F238E27FC236}">
                <a16:creationId xmlns:a16="http://schemas.microsoft.com/office/drawing/2014/main" id="{9962273E-EC1F-46DE-88AF-2E6937BDB527}"/>
              </a:ext>
            </a:extLst>
          </xdr:cNvPr>
          <xdr:cNvCxnSpPr/>
        </xdr:nvCxnSpPr>
        <xdr:spPr>
          <a:xfrm flipH="1">
            <a:off x="1090613" y="356425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6" name="Straight Connector 1335">
            <a:extLst>
              <a:ext uri="{FF2B5EF4-FFF2-40B4-BE49-F238E27FC236}">
                <a16:creationId xmlns:a16="http://schemas.microsoft.com/office/drawing/2014/main" id="{18726B02-CAB3-4D0E-95C0-1EA7F15E547A}"/>
              </a:ext>
            </a:extLst>
          </xdr:cNvPr>
          <xdr:cNvCxnSpPr/>
        </xdr:nvCxnSpPr>
        <xdr:spPr>
          <a:xfrm>
            <a:off x="4371975" y="34871025"/>
            <a:ext cx="0" cy="1181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7" name="Straight Connector 1336">
            <a:extLst>
              <a:ext uri="{FF2B5EF4-FFF2-40B4-BE49-F238E27FC236}">
                <a16:creationId xmlns:a16="http://schemas.microsoft.com/office/drawing/2014/main" id="{6E82E5CA-0075-4BA2-AC82-AB7D8DFDD630}"/>
              </a:ext>
            </a:extLst>
          </xdr:cNvPr>
          <xdr:cNvCxnSpPr/>
        </xdr:nvCxnSpPr>
        <xdr:spPr>
          <a:xfrm flipH="1">
            <a:off x="4329113" y="356425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8" name="Straight Connector 1337">
            <a:extLst>
              <a:ext uri="{FF2B5EF4-FFF2-40B4-BE49-F238E27FC236}">
                <a16:creationId xmlns:a16="http://schemas.microsoft.com/office/drawing/2014/main" id="{B3862818-E634-407F-9B0C-807064711A62}"/>
              </a:ext>
            </a:extLst>
          </xdr:cNvPr>
          <xdr:cNvCxnSpPr/>
        </xdr:nvCxnSpPr>
        <xdr:spPr>
          <a:xfrm flipH="1">
            <a:off x="2709862" y="3564255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9" name="Straight Connector 1338">
            <a:extLst>
              <a:ext uri="{FF2B5EF4-FFF2-40B4-BE49-F238E27FC236}">
                <a16:creationId xmlns:a16="http://schemas.microsoft.com/office/drawing/2014/main" id="{021FB421-E4AE-45B3-873B-7CCDD84FA224}"/>
              </a:ext>
            </a:extLst>
          </xdr:cNvPr>
          <xdr:cNvCxnSpPr/>
        </xdr:nvCxnSpPr>
        <xdr:spPr>
          <a:xfrm>
            <a:off x="1066800" y="35109150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0" name="Straight Connector 1339">
            <a:extLst>
              <a:ext uri="{FF2B5EF4-FFF2-40B4-BE49-F238E27FC236}">
                <a16:creationId xmlns:a16="http://schemas.microsoft.com/office/drawing/2014/main" id="{663DF486-1B83-45C4-ABCE-14FA3290CB9C}"/>
              </a:ext>
            </a:extLst>
          </xdr:cNvPr>
          <xdr:cNvCxnSpPr/>
        </xdr:nvCxnSpPr>
        <xdr:spPr>
          <a:xfrm>
            <a:off x="2590800" y="3488055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1" name="Straight Connector 1340">
            <a:extLst>
              <a:ext uri="{FF2B5EF4-FFF2-40B4-BE49-F238E27FC236}">
                <a16:creationId xmlns:a16="http://schemas.microsoft.com/office/drawing/2014/main" id="{1AFC706F-DB7A-44C1-BB64-7AE5105D83B8}"/>
              </a:ext>
            </a:extLst>
          </xdr:cNvPr>
          <xdr:cNvCxnSpPr/>
        </xdr:nvCxnSpPr>
        <xdr:spPr>
          <a:xfrm flipH="1">
            <a:off x="2543175" y="35066287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2" name="Straight Connector 1341">
            <a:extLst>
              <a:ext uri="{FF2B5EF4-FFF2-40B4-BE49-F238E27FC236}">
                <a16:creationId xmlns:a16="http://schemas.microsoft.com/office/drawing/2014/main" id="{B1B135C8-7FFC-42A9-BFD3-BD46F5B94C4E}"/>
              </a:ext>
            </a:extLst>
          </xdr:cNvPr>
          <xdr:cNvCxnSpPr/>
        </xdr:nvCxnSpPr>
        <xdr:spPr>
          <a:xfrm>
            <a:off x="2914650" y="34880549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3" name="Straight Connector 1342">
            <a:extLst>
              <a:ext uri="{FF2B5EF4-FFF2-40B4-BE49-F238E27FC236}">
                <a16:creationId xmlns:a16="http://schemas.microsoft.com/office/drawing/2014/main" id="{CE52324B-53F5-4DC3-A5FA-43946EA489D1}"/>
              </a:ext>
            </a:extLst>
          </xdr:cNvPr>
          <xdr:cNvCxnSpPr/>
        </xdr:nvCxnSpPr>
        <xdr:spPr>
          <a:xfrm flipH="1">
            <a:off x="2867025" y="3506628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4" name="Straight Connector 1343">
            <a:extLst>
              <a:ext uri="{FF2B5EF4-FFF2-40B4-BE49-F238E27FC236}">
                <a16:creationId xmlns:a16="http://schemas.microsoft.com/office/drawing/2014/main" id="{36D956D8-F68D-4478-8ABD-9892A69B6479}"/>
              </a:ext>
            </a:extLst>
          </xdr:cNvPr>
          <xdr:cNvCxnSpPr/>
        </xdr:nvCxnSpPr>
        <xdr:spPr>
          <a:xfrm>
            <a:off x="1905000" y="34742437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5" name="Straight Connector 1344">
            <a:extLst>
              <a:ext uri="{FF2B5EF4-FFF2-40B4-BE49-F238E27FC236}">
                <a16:creationId xmlns:a16="http://schemas.microsoft.com/office/drawing/2014/main" id="{688DBCBC-040A-4162-B882-C537AAB5B566}"/>
              </a:ext>
            </a:extLst>
          </xdr:cNvPr>
          <xdr:cNvCxnSpPr/>
        </xdr:nvCxnSpPr>
        <xdr:spPr>
          <a:xfrm>
            <a:off x="1814512" y="34747199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6" name="Straight Connector 1345">
            <a:extLst>
              <a:ext uri="{FF2B5EF4-FFF2-40B4-BE49-F238E27FC236}">
                <a16:creationId xmlns:a16="http://schemas.microsoft.com/office/drawing/2014/main" id="{B5B5157B-FF1F-4BFF-ABA3-E842A9515149}"/>
              </a:ext>
            </a:extLst>
          </xdr:cNvPr>
          <xdr:cNvCxnSpPr/>
        </xdr:nvCxnSpPr>
        <xdr:spPr>
          <a:xfrm flipH="1">
            <a:off x="1090613" y="35071042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7" name="Straight Connector 1346">
            <a:extLst>
              <a:ext uri="{FF2B5EF4-FFF2-40B4-BE49-F238E27FC236}">
                <a16:creationId xmlns:a16="http://schemas.microsoft.com/office/drawing/2014/main" id="{7AB84C3D-A2BC-4F70-A428-A21E56A06065}"/>
              </a:ext>
            </a:extLst>
          </xdr:cNvPr>
          <xdr:cNvCxnSpPr/>
        </xdr:nvCxnSpPr>
        <xdr:spPr>
          <a:xfrm>
            <a:off x="1857375" y="3525202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8" name="Straight Connector 1347">
            <a:extLst>
              <a:ext uri="{FF2B5EF4-FFF2-40B4-BE49-F238E27FC236}">
                <a16:creationId xmlns:a16="http://schemas.microsoft.com/office/drawing/2014/main" id="{976300A1-A38E-4D01-817F-DBBE1C1702EB}"/>
              </a:ext>
            </a:extLst>
          </xdr:cNvPr>
          <xdr:cNvCxnSpPr/>
        </xdr:nvCxnSpPr>
        <xdr:spPr>
          <a:xfrm>
            <a:off x="3648075" y="3514248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9" name="Straight Connector 1348">
            <a:extLst>
              <a:ext uri="{FF2B5EF4-FFF2-40B4-BE49-F238E27FC236}">
                <a16:creationId xmlns:a16="http://schemas.microsoft.com/office/drawing/2014/main" id="{D3DDFBE9-FB30-4ED8-BC47-78EFC5D7E949}"/>
              </a:ext>
            </a:extLst>
          </xdr:cNvPr>
          <xdr:cNvCxnSpPr/>
        </xdr:nvCxnSpPr>
        <xdr:spPr>
          <a:xfrm flipH="1">
            <a:off x="3605212" y="3535680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0" name="Straight Connector 1349">
            <a:extLst>
              <a:ext uri="{FF2B5EF4-FFF2-40B4-BE49-F238E27FC236}">
                <a16:creationId xmlns:a16="http://schemas.microsoft.com/office/drawing/2014/main" id="{842DBCA2-7247-47FC-B6B0-EECFE374C978}"/>
              </a:ext>
            </a:extLst>
          </xdr:cNvPr>
          <xdr:cNvCxnSpPr/>
        </xdr:nvCxnSpPr>
        <xdr:spPr>
          <a:xfrm flipV="1">
            <a:off x="1133475" y="31327725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1" name="Straight Connector 1350">
            <a:extLst>
              <a:ext uri="{FF2B5EF4-FFF2-40B4-BE49-F238E27FC236}">
                <a16:creationId xmlns:a16="http://schemas.microsoft.com/office/drawing/2014/main" id="{6A540C8D-E71E-4D08-90EC-8F9D763F34A1}"/>
              </a:ext>
            </a:extLst>
          </xdr:cNvPr>
          <xdr:cNvCxnSpPr/>
        </xdr:nvCxnSpPr>
        <xdr:spPr>
          <a:xfrm>
            <a:off x="1062038" y="3168015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2" name="Straight Connector 1351">
            <a:extLst>
              <a:ext uri="{FF2B5EF4-FFF2-40B4-BE49-F238E27FC236}">
                <a16:creationId xmlns:a16="http://schemas.microsoft.com/office/drawing/2014/main" id="{71F0F467-D90B-4BCD-898D-32C698B64F9D}"/>
              </a:ext>
            </a:extLst>
          </xdr:cNvPr>
          <xdr:cNvCxnSpPr/>
        </xdr:nvCxnSpPr>
        <xdr:spPr>
          <a:xfrm flipH="1">
            <a:off x="1090607" y="316468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3" name="Straight Connector 1352">
            <a:extLst>
              <a:ext uri="{FF2B5EF4-FFF2-40B4-BE49-F238E27FC236}">
                <a16:creationId xmlns:a16="http://schemas.microsoft.com/office/drawing/2014/main" id="{1CB47FC3-4276-45A5-95AA-F323102BA13E}"/>
              </a:ext>
            </a:extLst>
          </xdr:cNvPr>
          <xdr:cNvCxnSpPr/>
        </xdr:nvCxnSpPr>
        <xdr:spPr>
          <a:xfrm>
            <a:off x="2752726" y="31313438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4" name="Straight Connector 1353">
            <a:extLst>
              <a:ext uri="{FF2B5EF4-FFF2-40B4-BE49-F238E27FC236}">
                <a16:creationId xmlns:a16="http://schemas.microsoft.com/office/drawing/2014/main" id="{7E948100-B7F6-4942-9511-B5A6EA4D00E1}"/>
              </a:ext>
            </a:extLst>
          </xdr:cNvPr>
          <xdr:cNvCxnSpPr/>
        </xdr:nvCxnSpPr>
        <xdr:spPr>
          <a:xfrm flipV="1">
            <a:off x="4371975" y="31322962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5" name="Straight Connector 1354">
            <a:extLst>
              <a:ext uri="{FF2B5EF4-FFF2-40B4-BE49-F238E27FC236}">
                <a16:creationId xmlns:a16="http://schemas.microsoft.com/office/drawing/2014/main" id="{DEC2C018-A64F-4F2C-A47C-94EF413E5A1C}"/>
              </a:ext>
            </a:extLst>
          </xdr:cNvPr>
          <xdr:cNvCxnSpPr/>
        </xdr:nvCxnSpPr>
        <xdr:spPr>
          <a:xfrm flipH="1">
            <a:off x="4329113" y="316372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6" name="Straight Connector 1355">
            <a:extLst>
              <a:ext uri="{FF2B5EF4-FFF2-40B4-BE49-F238E27FC236}">
                <a16:creationId xmlns:a16="http://schemas.microsoft.com/office/drawing/2014/main" id="{7992958F-5DEC-46CA-9301-20D0B640402E}"/>
              </a:ext>
            </a:extLst>
          </xdr:cNvPr>
          <xdr:cNvCxnSpPr/>
        </xdr:nvCxnSpPr>
        <xdr:spPr>
          <a:xfrm>
            <a:off x="1057275" y="3139440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7" name="Straight Connector 1356">
            <a:extLst>
              <a:ext uri="{FF2B5EF4-FFF2-40B4-BE49-F238E27FC236}">
                <a16:creationId xmlns:a16="http://schemas.microsoft.com/office/drawing/2014/main" id="{C6356DD5-301C-4F9E-B045-1B43F2DD0582}"/>
              </a:ext>
            </a:extLst>
          </xdr:cNvPr>
          <xdr:cNvCxnSpPr/>
        </xdr:nvCxnSpPr>
        <xdr:spPr>
          <a:xfrm flipH="1">
            <a:off x="1085850" y="313563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8" name="Straight Connector 1357">
            <a:extLst>
              <a:ext uri="{FF2B5EF4-FFF2-40B4-BE49-F238E27FC236}">
                <a16:creationId xmlns:a16="http://schemas.microsoft.com/office/drawing/2014/main" id="{2138A5A8-4302-496B-ABD0-DE7471B94C99}"/>
              </a:ext>
            </a:extLst>
          </xdr:cNvPr>
          <xdr:cNvCxnSpPr/>
        </xdr:nvCxnSpPr>
        <xdr:spPr>
          <a:xfrm flipH="1">
            <a:off x="4324350" y="313515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9" name="Straight Connector 1358">
            <a:extLst>
              <a:ext uri="{FF2B5EF4-FFF2-40B4-BE49-F238E27FC236}">
                <a16:creationId xmlns:a16="http://schemas.microsoft.com/office/drawing/2014/main" id="{64997F9B-FEE8-422A-B292-65B341DB159A}"/>
              </a:ext>
            </a:extLst>
          </xdr:cNvPr>
          <xdr:cNvCxnSpPr/>
        </xdr:nvCxnSpPr>
        <xdr:spPr>
          <a:xfrm flipH="1">
            <a:off x="2705101" y="3135153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0" name="Straight Connector 1359">
            <a:extLst>
              <a:ext uri="{FF2B5EF4-FFF2-40B4-BE49-F238E27FC236}">
                <a16:creationId xmlns:a16="http://schemas.microsoft.com/office/drawing/2014/main" id="{E78F025E-5448-45B7-A580-DB1DA328A000}"/>
              </a:ext>
            </a:extLst>
          </xdr:cNvPr>
          <xdr:cNvCxnSpPr/>
        </xdr:nvCxnSpPr>
        <xdr:spPr>
          <a:xfrm flipH="1">
            <a:off x="2705101" y="316420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1" name="Straight Connector 1360">
            <a:extLst>
              <a:ext uri="{FF2B5EF4-FFF2-40B4-BE49-F238E27FC236}">
                <a16:creationId xmlns:a16="http://schemas.microsoft.com/office/drawing/2014/main" id="{B6AD9C20-BA10-40FC-AA28-9073A89BC9B0}"/>
              </a:ext>
            </a:extLst>
          </xdr:cNvPr>
          <xdr:cNvCxnSpPr/>
        </xdr:nvCxnSpPr>
        <xdr:spPr>
          <a:xfrm flipH="1">
            <a:off x="409575" y="3196590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2" name="Straight Connector 1361">
            <a:extLst>
              <a:ext uri="{FF2B5EF4-FFF2-40B4-BE49-F238E27FC236}">
                <a16:creationId xmlns:a16="http://schemas.microsoft.com/office/drawing/2014/main" id="{670BBCD4-A9E0-4AA8-AA01-EB6E84DCBFB4}"/>
              </a:ext>
            </a:extLst>
          </xdr:cNvPr>
          <xdr:cNvCxnSpPr/>
        </xdr:nvCxnSpPr>
        <xdr:spPr>
          <a:xfrm>
            <a:off x="809626" y="31899225"/>
            <a:ext cx="0" cy="3000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3" name="Straight Connector 1362">
            <a:extLst>
              <a:ext uri="{FF2B5EF4-FFF2-40B4-BE49-F238E27FC236}">
                <a16:creationId xmlns:a16="http://schemas.microsoft.com/office/drawing/2014/main" id="{45573144-80AA-424D-9843-7CE87224A038}"/>
              </a:ext>
            </a:extLst>
          </xdr:cNvPr>
          <xdr:cNvCxnSpPr/>
        </xdr:nvCxnSpPr>
        <xdr:spPr>
          <a:xfrm flipH="1">
            <a:off x="766763" y="3192780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4" name="Straight Connector 1363">
            <a:extLst>
              <a:ext uri="{FF2B5EF4-FFF2-40B4-BE49-F238E27FC236}">
                <a16:creationId xmlns:a16="http://schemas.microsoft.com/office/drawing/2014/main" id="{8D0F617A-7691-441C-9667-11C441780101}"/>
              </a:ext>
            </a:extLst>
          </xdr:cNvPr>
          <xdr:cNvCxnSpPr/>
        </xdr:nvCxnSpPr>
        <xdr:spPr>
          <a:xfrm flipH="1">
            <a:off x="728663" y="32799330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5" name="Straight Connector 1364">
            <a:extLst>
              <a:ext uri="{FF2B5EF4-FFF2-40B4-BE49-F238E27FC236}">
                <a16:creationId xmlns:a16="http://schemas.microsoft.com/office/drawing/2014/main" id="{A481A2C6-0EF0-4670-AC16-3946D8170874}"/>
              </a:ext>
            </a:extLst>
          </xdr:cNvPr>
          <xdr:cNvCxnSpPr/>
        </xdr:nvCxnSpPr>
        <xdr:spPr>
          <a:xfrm flipH="1">
            <a:off x="766763" y="3276123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6" name="Straight Connector 1365">
            <a:extLst>
              <a:ext uri="{FF2B5EF4-FFF2-40B4-BE49-F238E27FC236}">
                <a16:creationId xmlns:a16="http://schemas.microsoft.com/office/drawing/2014/main" id="{F8838CEF-08FC-4BCD-AEA3-E8BF03EB241D}"/>
              </a:ext>
            </a:extLst>
          </xdr:cNvPr>
          <xdr:cNvCxnSpPr/>
        </xdr:nvCxnSpPr>
        <xdr:spPr>
          <a:xfrm flipH="1">
            <a:off x="723900" y="3409473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7" name="Straight Connector 1366">
            <a:extLst>
              <a:ext uri="{FF2B5EF4-FFF2-40B4-BE49-F238E27FC236}">
                <a16:creationId xmlns:a16="http://schemas.microsoft.com/office/drawing/2014/main" id="{D75C8998-4D44-4A3B-BDD8-634F750E2EA0}"/>
              </a:ext>
            </a:extLst>
          </xdr:cNvPr>
          <xdr:cNvCxnSpPr/>
        </xdr:nvCxnSpPr>
        <xdr:spPr>
          <a:xfrm flipH="1">
            <a:off x="762000" y="3405663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0" name="Straight Connector 1369">
            <a:extLst>
              <a:ext uri="{FF2B5EF4-FFF2-40B4-BE49-F238E27FC236}">
                <a16:creationId xmlns:a16="http://schemas.microsoft.com/office/drawing/2014/main" id="{1D7E9458-2614-4F51-B119-07FBD93E274F}"/>
              </a:ext>
            </a:extLst>
          </xdr:cNvPr>
          <xdr:cNvCxnSpPr/>
        </xdr:nvCxnSpPr>
        <xdr:spPr>
          <a:xfrm flipH="1">
            <a:off x="395288" y="34823390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1" name="Straight Connector 1370">
            <a:extLst>
              <a:ext uri="{FF2B5EF4-FFF2-40B4-BE49-F238E27FC236}">
                <a16:creationId xmlns:a16="http://schemas.microsoft.com/office/drawing/2014/main" id="{B013542F-80CD-4C67-BFEC-C11D7EAB7062}"/>
              </a:ext>
            </a:extLst>
          </xdr:cNvPr>
          <xdr:cNvCxnSpPr/>
        </xdr:nvCxnSpPr>
        <xdr:spPr>
          <a:xfrm flipH="1">
            <a:off x="766764" y="3478529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2" name="Straight Connector 1371">
            <a:extLst>
              <a:ext uri="{FF2B5EF4-FFF2-40B4-BE49-F238E27FC236}">
                <a16:creationId xmlns:a16="http://schemas.microsoft.com/office/drawing/2014/main" id="{742F1F14-FE09-4128-9B4E-4C47C26053C8}"/>
              </a:ext>
            </a:extLst>
          </xdr:cNvPr>
          <xdr:cNvCxnSpPr/>
        </xdr:nvCxnSpPr>
        <xdr:spPr>
          <a:xfrm>
            <a:off x="485776" y="31894463"/>
            <a:ext cx="0" cy="29956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3" name="Straight Connector 1372">
            <a:extLst>
              <a:ext uri="{FF2B5EF4-FFF2-40B4-BE49-F238E27FC236}">
                <a16:creationId xmlns:a16="http://schemas.microsoft.com/office/drawing/2014/main" id="{76E113D6-F86F-4514-83E0-4CCC3BAF6208}"/>
              </a:ext>
            </a:extLst>
          </xdr:cNvPr>
          <xdr:cNvCxnSpPr/>
        </xdr:nvCxnSpPr>
        <xdr:spPr>
          <a:xfrm flipH="1">
            <a:off x="442913" y="3192303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4" name="Straight Connector 1373">
            <a:extLst>
              <a:ext uri="{FF2B5EF4-FFF2-40B4-BE49-F238E27FC236}">
                <a16:creationId xmlns:a16="http://schemas.microsoft.com/office/drawing/2014/main" id="{2D48E557-60A7-4B4D-B8BC-75E60B4F896F}"/>
              </a:ext>
            </a:extLst>
          </xdr:cNvPr>
          <xdr:cNvCxnSpPr/>
        </xdr:nvCxnSpPr>
        <xdr:spPr>
          <a:xfrm flipH="1">
            <a:off x="442914" y="3478052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5" name="Straight Connector 1374">
            <a:extLst>
              <a:ext uri="{FF2B5EF4-FFF2-40B4-BE49-F238E27FC236}">
                <a16:creationId xmlns:a16="http://schemas.microsoft.com/office/drawing/2014/main" id="{8B857289-B490-4240-B63D-94FBB577A28B}"/>
              </a:ext>
            </a:extLst>
          </xdr:cNvPr>
          <xdr:cNvCxnSpPr/>
        </xdr:nvCxnSpPr>
        <xdr:spPr>
          <a:xfrm flipH="1">
            <a:off x="723900" y="3357562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6" name="Straight Connector 1375">
            <a:extLst>
              <a:ext uri="{FF2B5EF4-FFF2-40B4-BE49-F238E27FC236}">
                <a16:creationId xmlns:a16="http://schemas.microsoft.com/office/drawing/2014/main" id="{A3605869-AFB2-481C-B5F2-6CD1018FFD92}"/>
              </a:ext>
            </a:extLst>
          </xdr:cNvPr>
          <xdr:cNvCxnSpPr/>
        </xdr:nvCxnSpPr>
        <xdr:spPr>
          <a:xfrm flipH="1">
            <a:off x="762000" y="335375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7" name="Straight Connector 1376">
            <a:extLst>
              <a:ext uri="{FF2B5EF4-FFF2-40B4-BE49-F238E27FC236}">
                <a16:creationId xmlns:a16="http://schemas.microsoft.com/office/drawing/2014/main" id="{D713D610-ACBA-47F3-BD0B-949F1FF6C048}"/>
              </a:ext>
            </a:extLst>
          </xdr:cNvPr>
          <xdr:cNvCxnSpPr/>
        </xdr:nvCxnSpPr>
        <xdr:spPr>
          <a:xfrm>
            <a:off x="4695825" y="31889700"/>
            <a:ext cx="0" cy="2995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8" name="Straight Connector 1377">
            <a:extLst>
              <a:ext uri="{FF2B5EF4-FFF2-40B4-BE49-F238E27FC236}">
                <a16:creationId xmlns:a16="http://schemas.microsoft.com/office/drawing/2014/main" id="{FC321A7C-1A73-4F0B-9079-C556E3F4DD7D}"/>
              </a:ext>
            </a:extLst>
          </xdr:cNvPr>
          <xdr:cNvCxnSpPr/>
        </xdr:nvCxnSpPr>
        <xdr:spPr>
          <a:xfrm>
            <a:off x="4414838" y="34823387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9" name="Straight Connector 1378">
            <a:extLst>
              <a:ext uri="{FF2B5EF4-FFF2-40B4-BE49-F238E27FC236}">
                <a16:creationId xmlns:a16="http://schemas.microsoft.com/office/drawing/2014/main" id="{53C3EFA6-A50C-4A12-87D6-ABC64AC1AF9A}"/>
              </a:ext>
            </a:extLst>
          </xdr:cNvPr>
          <xdr:cNvCxnSpPr/>
        </xdr:nvCxnSpPr>
        <xdr:spPr>
          <a:xfrm>
            <a:off x="4410075" y="31965900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0" name="Straight Connector 1379">
            <a:extLst>
              <a:ext uri="{FF2B5EF4-FFF2-40B4-BE49-F238E27FC236}">
                <a16:creationId xmlns:a16="http://schemas.microsoft.com/office/drawing/2014/main" id="{CE81CAF9-6FA5-49D0-A1C6-E29DF6641F1D}"/>
              </a:ext>
            </a:extLst>
          </xdr:cNvPr>
          <xdr:cNvCxnSpPr/>
        </xdr:nvCxnSpPr>
        <xdr:spPr>
          <a:xfrm flipH="1">
            <a:off x="4648200" y="3192780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1" name="Straight Connector 1380">
            <a:extLst>
              <a:ext uri="{FF2B5EF4-FFF2-40B4-BE49-F238E27FC236}">
                <a16:creationId xmlns:a16="http://schemas.microsoft.com/office/drawing/2014/main" id="{0F7854D1-5747-4BD8-9039-31B545EAAFEA}"/>
              </a:ext>
            </a:extLst>
          </xdr:cNvPr>
          <xdr:cNvCxnSpPr/>
        </xdr:nvCxnSpPr>
        <xdr:spPr>
          <a:xfrm flipH="1">
            <a:off x="4648201" y="34780524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2" name="Straight Connector 1381">
            <a:extLst>
              <a:ext uri="{FF2B5EF4-FFF2-40B4-BE49-F238E27FC236}">
                <a16:creationId xmlns:a16="http://schemas.microsoft.com/office/drawing/2014/main" id="{48A7625F-6D20-4531-9D9E-1DF0C9850DF6}"/>
              </a:ext>
            </a:extLst>
          </xdr:cNvPr>
          <xdr:cNvCxnSpPr/>
        </xdr:nvCxnSpPr>
        <xdr:spPr>
          <a:xfrm>
            <a:off x="3619500" y="33537525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3" name="Straight Connector 1382">
            <a:extLst>
              <a:ext uri="{FF2B5EF4-FFF2-40B4-BE49-F238E27FC236}">
                <a16:creationId xmlns:a16="http://schemas.microsoft.com/office/drawing/2014/main" id="{94DA6D2D-E525-4D73-BD38-B8235F7D12FB}"/>
              </a:ext>
            </a:extLst>
          </xdr:cNvPr>
          <xdr:cNvCxnSpPr/>
        </xdr:nvCxnSpPr>
        <xdr:spPr>
          <a:xfrm flipH="1">
            <a:off x="4652964" y="334946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4" name="Straight Connector 1383">
            <a:extLst>
              <a:ext uri="{FF2B5EF4-FFF2-40B4-BE49-F238E27FC236}">
                <a16:creationId xmlns:a16="http://schemas.microsoft.com/office/drawing/2014/main" id="{39366C97-84E2-4100-8B4B-75EF161DD0AB}"/>
              </a:ext>
            </a:extLst>
          </xdr:cNvPr>
          <xdr:cNvCxnSpPr/>
        </xdr:nvCxnSpPr>
        <xdr:spPr>
          <a:xfrm>
            <a:off x="1143000" y="34099500"/>
            <a:ext cx="1609725" cy="539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5" name="Straight Connector 1384">
            <a:extLst>
              <a:ext uri="{FF2B5EF4-FFF2-40B4-BE49-F238E27FC236}">
                <a16:creationId xmlns:a16="http://schemas.microsoft.com/office/drawing/2014/main" id="{921C12A4-94C6-4501-97F6-106C921DFCF7}"/>
              </a:ext>
            </a:extLst>
          </xdr:cNvPr>
          <xdr:cNvCxnSpPr/>
        </xdr:nvCxnSpPr>
        <xdr:spPr>
          <a:xfrm flipH="1">
            <a:off x="3186112" y="3334702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6" name="Straight Connector 1385">
            <a:extLst>
              <a:ext uri="{FF2B5EF4-FFF2-40B4-BE49-F238E27FC236}">
                <a16:creationId xmlns:a16="http://schemas.microsoft.com/office/drawing/2014/main" id="{7552229E-6950-41F0-B7B8-C07E9D81FACD}"/>
              </a:ext>
            </a:extLst>
          </xdr:cNvPr>
          <xdr:cNvCxnSpPr/>
        </xdr:nvCxnSpPr>
        <xdr:spPr>
          <a:xfrm flipH="1">
            <a:off x="2614613" y="33104138"/>
            <a:ext cx="2095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7" name="Straight Connector 1386">
            <a:extLst>
              <a:ext uri="{FF2B5EF4-FFF2-40B4-BE49-F238E27FC236}">
                <a16:creationId xmlns:a16="http://schemas.microsoft.com/office/drawing/2014/main" id="{4D7CFA3B-D495-4880-871D-9A5BAEA42BC7}"/>
              </a:ext>
            </a:extLst>
          </xdr:cNvPr>
          <xdr:cNvCxnSpPr/>
        </xdr:nvCxnSpPr>
        <xdr:spPr>
          <a:xfrm>
            <a:off x="2686059" y="33008884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8" name="Straight Connector 1387">
            <a:extLst>
              <a:ext uri="{FF2B5EF4-FFF2-40B4-BE49-F238E27FC236}">
                <a16:creationId xmlns:a16="http://schemas.microsoft.com/office/drawing/2014/main" id="{25805346-5F81-4791-8EA4-841519D64E4A}"/>
              </a:ext>
            </a:extLst>
          </xdr:cNvPr>
          <xdr:cNvCxnSpPr/>
        </xdr:nvCxnSpPr>
        <xdr:spPr>
          <a:xfrm flipH="1">
            <a:off x="2633672" y="33061272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9" name="Straight Connector 1388">
            <a:extLst>
              <a:ext uri="{FF2B5EF4-FFF2-40B4-BE49-F238E27FC236}">
                <a16:creationId xmlns:a16="http://schemas.microsoft.com/office/drawing/2014/main" id="{2BB0659C-3853-43ED-BBBC-36AB8453BCA2}"/>
              </a:ext>
            </a:extLst>
          </xdr:cNvPr>
          <xdr:cNvCxnSpPr/>
        </xdr:nvCxnSpPr>
        <xdr:spPr>
          <a:xfrm flipH="1">
            <a:off x="2700338" y="33061275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0" name="Straight Connector 1389">
            <a:extLst>
              <a:ext uri="{FF2B5EF4-FFF2-40B4-BE49-F238E27FC236}">
                <a16:creationId xmlns:a16="http://schemas.microsoft.com/office/drawing/2014/main" id="{A8E74162-1ACD-4A4C-92ED-DBACC2C7F286}"/>
              </a:ext>
            </a:extLst>
          </xdr:cNvPr>
          <xdr:cNvCxnSpPr/>
        </xdr:nvCxnSpPr>
        <xdr:spPr>
          <a:xfrm flipV="1">
            <a:off x="1857375" y="33532763"/>
            <a:ext cx="0" cy="1357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1" name="Straight Connector 1390">
            <a:extLst>
              <a:ext uri="{FF2B5EF4-FFF2-40B4-BE49-F238E27FC236}">
                <a16:creationId xmlns:a16="http://schemas.microsoft.com/office/drawing/2014/main" id="{008BC3EC-1C8C-4ADF-8672-7CA693F918DF}"/>
              </a:ext>
            </a:extLst>
          </xdr:cNvPr>
          <xdr:cNvCxnSpPr/>
        </xdr:nvCxnSpPr>
        <xdr:spPr>
          <a:xfrm flipV="1">
            <a:off x="3648075" y="33537525"/>
            <a:ext cx="0" cy="1281111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2" name="Arc 1391">
            <a:extLst>
              <a:ext uri="{FF2B5EF4-FFF2-40B4-BE49-F238E27FC236}">
                <a16:creationId xmlns:a16="http://schemas.microsoft.com/office/drawing/2014/main" id="{B4A6AF7D-B742-4672-A056-5326B324BA94}"/>
              </a:ext>
            </a:extLst>
          </xdr:cNvPr>
          <xdr:cNvSpPr/>
        </xdr:nvSpPr>
        <xdr:spPr>
          <a:xfrm rot="16200000">
            <a:off x="1857375" y="32661225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93" name="Straight Connector 1392">
            <a:extLst>
              <a:ext uri="{FF2B5EF4-FFF2-40B4-BE49-F238E27FC236}">
                <a16:creationId xmlns:a16="http://schemas.microsoft.com/office/drawing/2014/main" id="{1860CA77-7D6C-48C0-B8B1-886E988302A1}"/>
              </a:ext>
            </a:extLst>
          </xdr:cNvPr>
          <xdr:cNvCxnSpPr/>
        </xdr:nvCxnSpPr>
        <xdr:spPr>
          <a:xfrm>
            <a:off x="1057275" y="35394900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4" name="Straight Connector 1393">
            <a:extLst>
              <a:ext uri="{FF2B5EF4-FFF2-40B4-BE49-F238E27FC236}">
                <a16:creationId xmlns:a16="http://schemas.microsoft.com/office/drawing/2014/main" id="{DB097879-3648-4AAE-A427-C3FF052E4305}"/>
              </a:ext>
            </a:extLst>
          </xdr:cNvPr>
          <xdr:cNvCxnSpPr/>
        </xdr:nvCxnSpPr>
        <xdr:spPr>
          <a:xfrm flipH="1">
            <a:off x="1814513" y="3535203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5" name="Straight Connector 1394">
            <a:extLst>
              <a:ext uri="{FF2B5EF4-FFF2-40B4-BE49-F238E27FC236}">
                <a16:creationId xmlns:a16="http://schemas.microsoft.com/office/drawing/2014/main" id="{A5B85AF3-D06A-4E96-9126-13C40119C4EA}"/>
              </a:ext>
            </a:extLst>
          </xdr:cNvPr>
          <xdr:cNvCxnSpPr/>
        </xdr:nvCxnSpPr>
        <xdr:spPr>
          <a:xfrm flipH="1">
            <a:off x="4329114" y="350710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6" name="Straight Connector 1395">
            <a:extLst>
              <a:ext uri="{FF2B5EF4-FFF2-40B4-BE49-F238E27FC236}">
                <a16:creationId xmlns:a16="http://schemas.microsoft.com/office/drawing/2014/main" id="{AACB174A-08FA-4950-A71C-576F690A598C}"/>
              </a:ext>
            </a:extLst>
          </xdr:cNvPr>
          <xdr:cNvCxnSpPr/>
        </xdr:nvCxnSpPr>
        <xdr:spPr>
          <a:xfrm>
            <a:off x="2419366" y="31608713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7" name="Straight Connector 1396">
            <a:extLst>
              <a:ext uri="{FF2B5EF4-FFF2-40B4-BE49-F238E27FC236}">
                <a16:creationId xmlns:a16="http://schemas.microsoft.com/office/drawing/2014/main" id="{424E5F08-CE11-4E8B-870A-394ABB8DF71C}"/>
              </a:ext>
            </a:extLst>
          </xdr:cNvPr>
          <xdr:cNvCxnSpPr/>
        </xdr:nvCxnSpPr>
        <xdr:spPr>
          <a:xfrm flipH="1">
            <a:off x="2376505" y="316325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8" name="Straight Connector 1397">
            <a:extLst>
              <a:ext uri="{FF2B5EF4-FFF2-40B4-BE49-F238E27FC236}">
                <a16:creationId xmlns:a16="http://schemas.microsoft.com/office/drawing/2014/main" id="{66673846-E1F5-4F31-AA35-E66D4D5E54E0}"/>
              </a:ext>
            </a:extLst>
          </xdr:cNvPr>
          <xdr:cNvCxnSpPr/>
        </xdr:nvCxnSpPr>
        <xdr:spPr>
          <a:xfrm>
            <a:off x="3076586" y="3161823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9" name="Straight Connector 1398">
            <a:extLst>
              <a:ext uri="{FF2B5EF4-FFF2-40B4-BE49-F238E27FC236}">
                <a16:creationId xmlns:a16="http://schemas.microsoft.com/office/drawing/2014/main" id="{4374CE07-732B-49B6-B1EF-53CF3FE19FB5}"/>
              </a:ext>
            </a:extLst>
          </xdr:cNvPr>
          <xdr:cNvCxnSpPr/>
        </xdr:nvCxnSpPr>
        <xdr:spPr>
          <a:xfrm flipH="1">
            <a:off x="3033724" y="3163728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0" name="Straight Connector 1399">
            <a:extLst>
              <a:ext uri="{FF2B5EF4-FFF2-40B4-BE49-F238E27FC236}">
                <a16:creationId xmlns:a16="http://schemas.microsoft.com/office/drawing/2014/main" id="{3A9D2809-8849-4672-A40F-1FEB7C2DDAA4}"/>
              </a:ext>
            </a:extLst>
          </xdr:cNvPr>
          <xdr:cNvCxnSpPr/>
        </xdr:nvCxnSpPr>
        <xdr:spPr>
          <a:xfrm>
            <a:off x="1066799" y="35966399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1" name="Straight Connector 1400">
            <a:extLst>
              <a:ext uri="{FF2B5EF4-FFF2-40B4-BE49-F238E27FC236}">
                <a16:creationId xmlns:a16="http://schemas.microsoft.com/office/drawing/2014/main" id="{58E134E2-6F90-4326-9E51-4E479236072A}"/>
              </a:ext>
            </a:extLst>
          </xdr:cNvPr>
          <xdr:cNvCxnSpPr/>
        </xdr:nvCxnSpPr>
        <xdr:spPr>
          <a:xfrm flipH="1">
            <a:off x="1090613" y="359282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2" name="Straight Connector 1401">
            <a:extLst>
              <a:ext uri="{FF2B5EF4-FFF2-40B4-BE49-F238E27FC236}">
                <a16:creationId xmlns:a16="http://schemas.microsoft.com/office/drawing/2014/main" id="{C7287E18-6983-4D61-9A82-96CC1D3CEB5C}"/>
              </a:ext>
            </a:extLst>
          </xdr:cNvPr>
          <xdr:cNvCxnSpPr/>
        </xdr:nvCxnSpPr>
        <xdr:spPr>
          <a:xfrm flipH="1">
            <a:off x="4329113" y="359282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3" name="Straight Connector 1402">
            <a:extLst>
              <a:ext uri="{FF2B5EF4-FFF2-40B4-BE49-F238E27FC236}">
                <a16:creationId xmlns:a16="http://schemas.microsoft.com/office/drawing/2014/main" id="{50A59B28-220A-4EA1-99BC-79E23CEF739B}"/>
              </a:ext>
            </a:extLst>
          </xdr:cNvPr>
          <xdr:cNvCxnSpPr/>
        </xdr:nvCxnSpPr>
        <xdr:spPr>
          <a:xfrm flipH="1">
            <a:off x="1090612" y="3535679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4" name="Straight Connector 1403">
            <a:extLst>
              <a:ext uri="{FF2B5EF4-FFF2-40B4-BE49-F238E27FC236}">
                <a16:creationId xmlns:a16="http://schemas.microsoft.com/office/drawing/2014/main" id="{E90488F8-C1B2-4AC9-9405-A3E0FAEE468C}"/>
              </a:ext>
            </a:extLst>
          </xdr:cNvPr>
          <xdr:cNvCxnSpPr/>
        </xdr:nvCxnSpPr>
        <xdr:spPr>
          <a:xfrm flipH="1">
            <a:off x="4329112" y="3535679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5" name="Straight Connector 1404">
            <a:extLst>
              <a:ext uri="{FF2B5EF4-FFF2-40B4-BE49-F238E27FC236}">
                <a16:creationId xmlns:a16="http://schemas.microsoft.com/office/drawing/2014/main" id="{04018BD7-FF5E-40D9-B9C6-9F76630479DD}"/>
              </a:ext>
            </a:extLst>
          </xdr:cNvPr>
          <xdr:cNvCxnSpPr/>
        </xdr:nvCxnSpPr>
        <xdr:spPr>
          <a:xfrm flipH="1">
            <a:off x="2709862" y="3535680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6" name="Straight Connector 1405">
            <a:extLst>
              <a:ext uri="{FF2B5EF4-FFF2-40B4-BE49-F238E27FC236}">
                <a16:creationId xmlns:a16="http://schemas.microsoft.com/office/drawing/2014/main" id="{3C8720F6-ABF2-4DF4-A598-C049893202FD}"/>
              </a:ext>
            </a:extLst>
          </xdr:cNvPr>
          <xdr:cNvCxnSpPr/>
        </xdr:nvCxnSpPr>
        <xdr:spPr>
          <a:xfrm>
            <a:off x="2762250" y="337375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7" name="Straight Connector 1406">
            <a:extLst>
              <a:ext uri="{FF2B5EF4-FFF2-40B4-BE49-F238E27FC236}">
                <a16:creationId xmlns:a16="http://schemas.microsoft.com/office/drawing/2014/main" id="{4E0A8A4D-4901-44E4-ABA4-959FD8D1AB87}"/>
              </a:ext>
            </a:extLst>
          </xdr:cNvPr>
          <xdr:cNvCxnSpPr/>
        </xdr:nvCxnSpPr>
        <xdr:spPr>
          <a:xfrm>
            <a:off x="2938462" y="33394650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08" name="Oval 1407">
            <a:extLst>
              <a:ext uri="{FF2B5EF4-FFF2-40B4-BE49-F238E27FC236}">
                <a16:creationId xmlns:a16="http://schemas.microsoft.com/office/drawing/2014/main" id="{24F07F80-DD80-414E-8209-9FD61A770EDF}"/>
              </a:ext>
            </a:extLst>
          </xdr:cNvPr>
          <xdr:cNvSpPr/>
        </xdr:nvSpPr>
        <xdr:spPr>
          <a:xfrm>
            <a:off x="2729866" y="3350990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09" name="Straight Connector 1408">
            <a:extLst>
              <a:ext uri="{FF2B5EF4-FFF2-40B4-BE49-F238E27FC236}">
                <a16:creationId xmlns:a16="http://schemas.microsoft.com/office/drawing/2014/main" id="{87BD3278-22DC-4ED4-824D-284751840D23}"/>
              </a:ext>
            </a:extLst>
          </xdr:cNvPr>
          <xdr:cNvCxnSpPr/>
        </xdr:nvCxnSpPr>
        <xdr:spPr>
          <a:xfrm>
            <a:off x="2195513" y="33537525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0" name="Straight Connector 1409">
            <a:extLst>
              <a:ext uri="{FF2B5EF4-FFF2-40B4-BE49-F238E27FC236}">
                <a16:creationId xmlns:a16="http://schemas.microsoft.com/office/drawing/2014/main" id="{DD12DF29-2503-4346-969A-094C20BC138A}"/>
              </a:ext>
            </a:extLst>
          </xdr:cNvPr>
          <xdr:cNvCxnSpPr/>
        </xdr:nvCxnSpPr>
        <xdr:spPr>
          <a:xfrm flipV="1">
            <a:off x="2266950" y="33337500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1" name="Straight Connector 1410">
            <a:extLst>
              <a:ext uri="{FF2B5EF4-FFF2-40B4-BE49-F238E27FC236}">
                <a16:creationId xmlns:a16="http://schemas.microsoft.com/office/drawing/2014/main" id="{FE4EDC0E-7A84-4E1C-8A0B-1CC3BEECDCCD}"/>
              </a:ext>
            </a:extLst>
          </xdr:cNvPr>
          <xdr:cNvCxnSpPr/>
        </xdr:nvCxnSpPr>
        <xdr:spPr>
          <a:xfrm flipH="1">
            <a:off x="2190750" y="33394650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2" name="Straight Connector 1411">
            <a:extLst>
              <a:ext uri="{FF2B5EF4-FFF2-40B4-BE49-F238E27FC236}">
                <a16:creationId xmlns:a16="http://schemas.microsoft.com/office/drawing/2014/main" id="{F1A3B8FF-3FBE-4B2B-AB03-1F546A609F57}"/>
              </a:ext>
            </a:extLst>
          </xdr:cNvPr>
          <xdr:cNvCxnSpPr/>
        </xdr:nvCxnSpPr>
        <xdr:spPr>
          <a:xfrm flipH="1">
            <a:off x="2224088" y="33361313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3" name="Straight Connector 1412">
            <a:extLst>
              <a:ext uri="{FF2B5EF4-FFF2-40B4-BE49-F238E27FC236}">
                <a16:creationId xmlns:a16="http://schemas.microsoft.com/office/drawing/2014/main" id="{9FBC94B6-8EFA-411B-877A-13F9378E418F}"/>
              </a:ext>
            </a:extLst>
          </xdr:cNvPr>
          <xdr:cNvCxnSpPr/>
        </xdr:nvCxnSpPr>
        <xdr:spPr>
          <a:xfrm flipH="1">
            <a:off x="2228850" y="33499425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4" name="Straight Connector 1413">
            <a:extLst>
              <a:ext uri="{FF2B5EF4-FFF2-40B4-BE49-F238E27FC236}">
                <a16:creationId xmlns:a16="http://schemas.microsoft.com/office/drawing/2014/main" id="{46BEACC8-10CF-4EF0-9421-D27B04970F12}"/>
              </a:ext>
            </a:extLst>
          </xdr:cNvPr>
          <xdr:cNvCxnSpPr/>
        </xdr:nvCxnSpPr>
        <xdr:spPr>
          <a:xfrm flipH="1">
            <a:off x="3190874" y="336946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5" name="Straight Connector 1414">
            <a:extLst>
              <a:ext uri="{FF2B5EF4-FFF2-40B4-BE49-F238E27FC236}">
                <a16:creationId xmlns:a16="http://schemas.microsoft.com/office/drawing/2014/main" id="{4E7C8879-6BCB-467B-A934-27129074FBBC}"/>
              </a:ext>
            </a:extLst>
          </xdr:cNvPr>
          <xdr:cNvCxnSpPr/>
        </xdr:nvCxnSpPr>
        <xdr:spPr>
          <a:xfrm>
            <a:off x="2767012" y="3395662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6" name="Straight Connector 1415">
            <a:extLst>
              <a:ext uri="{FF2B5EF4-FFF2-40B4-BE49-F238E27FC236}">
                <a16:creationId xmlns:a16="http://schemas.microsoft.com/office/drawing/2014/main" id="{E669DFDE-A50B-4B89-98B2-5259AEE1FCD2}"/>
              </a:ext>
            </a:extLst>
          </xdr:cNvPr>
          <xdr:cNvCxnSpPr/>
        </xdr:nvCxnSpPr>
        <xdr:spPr>
          <a:xfrm flipH="1">
            <a:off x="3195636" y="3391376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7" name="Straight Connector 1416">
            <a:extLst>
              <a:ext uri="{FF2B5EF4-FFF2-40B4-BE49-F238E27FC236}">
                <a16:creationId xmlns:a16="http://schemas.microsoft.com/office/drawing/2014/main" id="{9841F195-352C-4615-84A4-7E76D29686D9}"/>
              </a:ext>
            </a:extLst>
          </xdr:cNvPr>
          <xdr:cNvCxnSpPr/>
        </xdr:nvCxnSpPr>
        <xdr:spPr>
          <a:xfrm>
            <a:off x="2762249" y="342661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8" name="Straight Connector 1417">
            <a:extLst>
              <a:ext uri="{FF2B5EF4-FFF2-40B4-BE49-F238E27FC236}">
                <a16:creationId xmlns:a16="http://schemas.microsoft.com/office/drawing/2014/main" id="{FCAA215A-FCAF-48EE-BC4B-96BEACE6F405}"/>
              </a:ext>
            </a:extLst>
          </xdr:cNvPr>
          <xdr:cNvCxnSpPr/>
        </xdr:nvCxnSpPr>
        <xdr:spPr>
          <a:xfrm flipH="1">
            <a:off x="3190873" y="342233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9" name="Straight Connector 1418">
            <a:extLst>
              <a:ext uri="{FF2B5EF4-FFF2-40B4-BE49-F238E27FC236}">
                <a16:creationId xmlns:a16="http://schemas.microsoft.com/office/drawing/2014/main" id="{ED360626-FEC0-463D-A1D2-0BD15444DF0B}"/>
              </a:ext>
            </a:extLst>
          </xdr:cNvPr>
          <xdr:cNvCxnSpPr/>
        </xdr:nvCxnSpPr>
        <xdr:spPr>
          <a:xfrm>
            <a:off x="2762248" y="346471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0" name="Straight Connector 1419">
            <a:extLst>
              <a:ext uri="{FF2B5EF4-FFF2-40B4-BE49-F238E27FC236}">
                <a16:creationId xmlns:a16="http://schemas.microsoft.com/office/drawing/2014/main" id="{C63B36FA-3523-4BF1-B4AE-7201BC882EDD}"/>
              </a:ext>
            </a:extLst>
          </xdr:cNvPr>
          <xdr:cNvCxnSpPr/>
        </xdr:nvCxnSpPr>
        <xdr:spPr>
          <a:xfrm flipH="1">
            <a:off x="3190872" y="346043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3" name="Straight Connector 1422">
            <a:extLst>
              <a:ext uri="{FF2B5EF4-FFF2-40B4-BE49-F238E27FC236}">
                <a16:creationId xmlns:a16="http://schemas.microsoft.com/office/drawing/2014/main" id="{B263205F-AD61-45A5-96A4-1642060BA6DC}"/>
              </a:ext>
            </a:extLst>
          </xdr:cNvPr>
          <xdr:cNvCxnSpPr/>
        </xdr:nvCxnSpPr>
        <xdr:spPr>
          <a:xfrm>
            <a:off x="2762248" y="3439953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4" name="Straight Connector 1423">
            <a:extLst>
              <a:ext uri="{FF2B5EF4-FFF2-40B4-BE49-F238E27FC236}">
                <a16:creationId xmlns:a16="http://schemas.microsoft.com/office/drawing/2014/main" id="{88C63E2C-34E5-4C19-82CB-B11913A75F59}"/>
              </a:ext>
            </a:extLst>
          </xdr:cNvPr>
          <xdr:cNvCxnSpPr/>
        </xdr:nvCxnSpPr>
        <xdr:spPr>
          <a:xfrm flipH="1">
            <a:off x="3190872" y="343566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5" name="Straight Connector 1424">
            <a:extLst>
              <a:ext uri="{FF2B5EF4-FFF2-40B4-BE49-F238E27FC236}">
                <a16:creationId xmlns:a16="http://schemas.microsoft.com/office/drawing/2014/main" id="{DCA8F44A-05C8-4F5B-9C25-DC869B288E2B}"/>
              </a:ext>
            </a:extLst>
          </xdr:cNvPr>
          <xdr:cNvCxnSpPr/>
        </xdr:nvCxnSpPr>
        <xdr:spPr>
          <a:xfrm>
            <a:off x="2762248" y="3410902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6" name="Straight Connector 1425">
            <a:extLst>
              <a:ext uri="{FF2B5EF4-FFF2-40B4-BE49-F238E27FC236}">
                <a16:creationId xmlns:a16="http://schemas.microsoft.com/office/drawing/2014/main" id="{68163F8F-2047-4D67-BC8A-0B4D6C078EC6}"/>
              </a:ext>
            </a:extLst>
          </xdr:cNvPr>
          <xdr:cNvCxnSpPr/>
        </xdr:nvCxnSpPr>
        <xdr:spPr>
          <a:xfrm flipH="1">
            <a:off x="3190872" y="3406616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27" name="Oval 1426">
            <a:extLst>
              <a:ext uri="{FF2B5EF4-FFF2-40B4-BE49-F238E27FC236}">
                <a16:creationId xmlns:a16="http://schemas.microsoft.com/office/drawing/2014/main" id="{D5444FA4-5441-48E7-8765-4C4D6152AC77}"/>
              </a:ext>
            </a:extLst>
          </xdr:cNvPr>
          <xdr:cNvSpPr/>
        </xdr:nvSpPr>
        <xdr:spPr>
          <a:xfrm>
            <a:off x="1833563" y="33508950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28" name="Oval 1427">
            <a:extLst>
              <a:ext uri="{FF2B5EF4-FFF2-40B4-BE49-F238E27FC236}">
                <a16:creationId xmlns:a16="http://schemas.microsoft.com/office/drawing/2014/main" id="{D3A50235-D66D-45F6-AEE8-10D5E563CAD1}"/>
              </a:ext>
            </a:extLst>
          </xdr:cNvPr>
          <xdr:cNvSpPr/>
        </xdr:nvSpPr>
        <xdr:spPr>
          <a:xfrm>
            <a:off x="3624263" y="3351371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29" name="Straight Connector 1428">
            <a:extLst>
              <a:ext uri="{FF2B5EF4-FFF2-40B4-BE49-F238E27FC236}">
                <a16:creationId xmlns:a16="http://schemas.microsoft.com/office/drawing/2014/main" id="{8F494F00-BE5C-4985-BB90-E950999366EA}"/>
              </a:ext>
            </a:extLst>
          </xdr:cNvPr>
          <xdr:cNvCxnSpPr/>
        </xdr:nvCxnSpPr>
        <xdr:spPr>
          <a:xfrm>
            <a:off x="4781550" y="3339465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0" name="Straight Connector 1429">
            <a:extLst>
              <a:ext uri="{FF2B5EF4-FFF2-40B4-BE49-F238E27FC236}">
                <a16:creationId xmlns:a16="http://schemas.microsoft.com/office/drawing/2014/main" id="{0A8DC999-3A5F-4F44-B28A-529C23D4E10D}"/>
              </a:ext>
            </a:extLst>
          </xdr:cNvPr>
          <xdr:cNvCxnSpPr/>
        </xdr:nvCxnSpPr>
        <xdr:spPr>
          <a:xfrm>
            <a:off x="5019675" y="31889700"/>
            <a:ext cx="0" cy="30051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1" name="Straight Connector 1430">
            <a:extLst>
              <a:ext uri="{FF2B5EF4-FFF2-40B4-BE49-F238E27FC236}">
                <a16:creationId xmlns:a16="http://schemas.microsoft.com/office/drawing/2014/main" id="{0828C15C-0FDF-44D2-9358-02BE979D42E8}"/>
              </a:ext>
            </a:extLst>
          </xdr:cNvPr>
          <xdr:cNvCxnSpPr/>
        </xdr:nvCxnSpPr>
        <xdr:spPr>
          <a:xfrm flipH="1">
            <a:off x="4981576" y="347757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2" name="Straight Connector 1431">
            <a:extLst>
              <a:ext uri="{FF2B5EF4-FFF2-40B4-BE49-F238E27FC236}">
                <a16:creationId xmlns:a16="http://schemas.microsoft.com/office/drawing/2014/main" id="{540D1466-D652-42C0-9271-47A024008371}"/>
              </a:ext>
            </a:extLst>
          </xdr:cNvPr>
          <xdr:cNvCxnSpPr/>
        </xdr:nvCxnSpPr>
        <xdr:spPr>
          <a:xfrm flipH="1">
            <a:off x="4976814" y="3335178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3" name="Straight Connector 1432">
            <a:extLst>
              <a:ext uri="{FF2B5EF4-FFF2-40B4-BE49-F238E27FC236}">
                <a16:creationId xmlns:a16="http://schemas.microsoft.com/office/drawing/2014/main" id="{0BC54D97-C0EF-4E4A-A7D7-B2E59C89957D}"/>
              </a:ext>
            </a:extLst>
          </xdr:cNvPr>
          <xdr:cNvCxnSpPr/>
        </xdr:nvCxnSpPr>
        <xdr:spPr>
          <a:xfrm>
            <a:off x="3509962" y="33394650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4" name="Straight Connector 1433">
            <a:extLst>
              <a:ext uri="{FF2B5EF4-FFF2-40B4-BE49-F238E27FC236}">
                <a16:creationId xmlns:a16="http://schemas.microsoft.com/office/drawing/2014/main" id="{F67AD681-6DDE-4754-BBD1-32971A4A23CA}"/>
              </a:ext>
            </a:extLst>
          </xdr:cNvPr>
          <xdr:cNvCxnSpPr/>
        </xdr:nvCxnSpPr>
        <xdr:spPr>
          <a:xfrm>
            <a:off x="4419600" y="33394650"/>
            <a:ext cx="219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5" name="Straight Connector 1434">
            <a:extLst>
              <a:ext uri="{FF2B5EF4-FFF2-40B4-BE49-F238E27FC236}">
                <a16:creationId xmlns:a16="http://schemas.microsoft.com/office/drawing/2014/main" id="{D85B309C-2286-45DE-AF05-681444E64E2C}"/>
              </a:ext>
            </a:extLst>
          </xdr:cNvPr>
          <xdr:cNvCxnSpPr/>
        </xdr:nvCxnSpPr>
        <xdr:spPr>
          <a:xfrm>
            <a:off x="1671653" y="31623001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6" name="Straight Connector 1435">
            <a:extLst>
              <a:ext uri="{FF2B5EF4-FFF2-40B4-BE49-F238E27FC236}">
                <a16:creationId xmlns:a16="http://schemas.microsoft.com/office/drawing/2014/main" id="{D891E3EB-2A06-4072-A2B0-E511817C84C9}"/>
              </a:ext>
            </a:extLst>
          </xdr:cNvPr>
          <xdr:cNvCxnSpPr/>
        </xdr:nvCxnSpPr>
        <xdr:spPr>
          <a:xfrm flipH="1">
            <a:off x="1628792" y="3164681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7" name="Straight Connector 1436">
            <a:extLst>
              <a:ext uri="{FF2B5EF4-FFF2-40B4-BE49-F238E27FC236}">
                <a16:creationId xmlns:a16="http://schemas.microsoft.com/office/drawing/2014/main" id="{C00F494B-FBB4-4BD6-B197-76BE0074F016}"/>
              </a:ext>
            </a:extLst>
          </xdr:cNvPr>
          <xdr:cNvCxnSpPr/>
        </xdr:nvCxnSpPr>
        <xdr:spPr>
          <a:xfrm>
            <a:off x="3833819" y="3161347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8" name="Straight Connector 1437">
            <a:extLst>
              <a:ext uri="{FF2B5EF4-FFF2-40B4-BE49-F238E27FC236}">
                <a16:creationId xmlns:a16="http://schemas.microsoft.com/office/drawing/2014/main" id="{80041A25-8580-42FF-9532-1FB66E169A8C}"/>
              </a:ext>
            </a:extLst>
          </xdr:cNvPr>
          <xdr:cNvCxnSpPr/>
        </xdr:nvCxnSpPr>
        <xdr:spPr>
          <a:xfrm flipH="1">
            <a:off x="3790957" y="316372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9" name="Straight Connector 1438">
            <a:extLst>
              <a:ext uri="{FF2B5EF4-FFF2-40B4-BE49-F238E27FC236}">
                <a16:creationId xmlns:a16="http://schemas.microsoft.com/office/drawing/2014/main" id="{E70D4457-2B6E-47E6-B034-DBA23C9D4FDE}"/>
              </a:ext>
            </a:extLst>
          </xdr:cNvPr>
          <xdr:cNvCxnSpPr/>
        </xdr:nvCxnSpPr>
        <xdr:spPr>
          <a:xfrm flipH="1">
            <a:off x="4976813" y="3191827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0" name="Straight Connector 1439">
            <a:extLst>
              <a:ext uri="{FF2B5EF4-FFF2-40B4-BE49-F238E27FC236}">
                <a16:creationId xmlns:a16="http://schemas.microsoft.com/office/drawing/2014/main" id="{79468D32-9ABF-4710-8D10-195636BABE9D}"/>
              </a:ext>
            </a:extLst>
          </xdr:cNvPr>
          <xdr:cNvCxnSpPr/>
        </xdr:nvCxnSpPr>
        <xdr:spPr>
          <a:xfrm flipH="1">
            <a:off x="733425" y="3210876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1" name="Straight Connector 1440">
            <a:extLst>
              <a:ext uri="{FF2B5EF4-FFF2-40B4-BE49-F238E27FC236}">
                <a16:creationId xmlns:a16="http://schemas.microsoft.com/office/drawing/2014/main" id="{F2588FCA-EA96-4711-8DCD-02F7103F21A6}"/>
              </a:ext>
            </a:extLst>
          </xdr:cNvPr>
          <xdr:cNvCxnSpPr/>
        </xdr:nvCxnSpPr>
        <xdr:spPr>
          <a:xfrm flipH="1">
            <a:off x="771525" y="3207066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4" name="Straight Connector 1443">
            <a:extLst>
              <a:ext uri="{FF2B5EF4-FFF2-40B4-BE49-F238E27FC236}">
                <a16:creationId xmlns:a16="http://schemas.microsoft.com/office/drawing/2014/main" id="{B49A9F66-AD1F-43EF-8457-0D789B9DA6BF}"/>
              </a:ext>
            </a:extLst>
          </xdr:cNvPr>
          <xdr:cNvCxnSpPr/>
        </xdr:nvCxnSpPr>
        <xdr:spPr>
          <a:xfrm flipH="1">
            <a:off x="3190875" y="347805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55</xdr:col>
      <xdr:colOff>76200</xdr:colOff>
      <xdr:row>295</xdr:row>
      <xdr:rowOff>123825</xdr:rowOff>
    </xdr:from>
    <xdr:to>
      <xdr:col>57</xdr:col>
      <xdr:colOff>142875</xdr:colOff>
      <xdr:row>297</xdr:row>
      <xdr:rowOff>66675</xdr:rowOff>
    </xdr:to>
    <xdr:cxnSp macro="">
      <xdr:nvCxnSpPr>
        <xdr:cNvPr id="1445" name="Straight Arrow Connector 1444">
          <a:extLst>
            <a:ext uri="{FF2B5EF4-FFF2-40B4-BE49-F238E27FC236}">
              <a16:creationId xmlns:a16="http://schemas.microsoft.com/office/drawing/2014/main" id="{5B0734FA-81B9-4433-890A-9178289409F6}"/>
            </a:ext>
          </a:extLst>
        </xdr:cNvPr>
        <xdr:cNvCxnSpPr/>
      </xdr:nvCxnSpPr>
      <xdr:spPr>
        <a:xfrm flipH="1" flipV="1">
          <a:off x="8982075" y="37871400"/>
          <a:ext cx="390525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85725</xdr:colOff>
      <xdr:row>323</xdr:row>
      <xdr:rowOff>66675</xdr:rowOff>
    </xdr:from>
    <xdr:to>
      <xdr:col>46</xdr:col>
      <xdr:colOff>8164</xdr:colOff>
      <xdr:row>329</xdr:row>
      <xdr:rowOff>1360</xdr:rowOff>
    </xdr:to>
    <xdr:grpSp>
      <xdr:nvGrpSpPr>
        <xdr:cNvPr id="1446" name="Group 1445">
          <a:extLst>
            <a:ext uri="{FF2B5EF4-FFF2-40B4-BE49-F238E27FC236}">
              <a16:creationId xmlns:a16="http://schemas.microsoft.com/office/drawing/2014/main" id="{E0693ED5-3576-4745-8A5A-3BE4BB6D6260}"/>
            </a:ext>
          </a:extLst>
        </xdr:cNvPr>
        <xdr:cNvGrpSpPr/>
      </xdr:nvGrpSpPr>
      <xdr:grpSpPr>
        <a:xfrm>
          <a:off x="5753100" y="49672875"/>
          <a:ext cx="1703614" cy="791935"/>
          <a:chOff x="6076950" y="10163175"/>
          <a:chExt cx="1703614" cy="791935"/>
        </a:xfrm>
      </xdr:grpSpPr>
      <xdr:sp macro="" textlink="">
        <xdr:nvSpPr>
          <xdr:cNvPr id="1447" name="Freeform: Shape 1446">
            <a:extLst>
              <a:ext uri="{FF2B5EF4-FFF2-40B4-BE49-F238E27FC236}">
                <a16:creationId xmlns:a16="http://schemas.microsoft.com/office/drawing/2014/main" id="{94A7F1EA-8520-4BCB-85D4-E2CF00304C4A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8" name="Freeform: Shape 1447">
            <a:extLst>
              <a:ext uri="{FF2B5EF4-FFF2-40B4-BE49-F238E27FC236}">
                <a16:creationId xmlns:a16="http://schemas.microsoft.com/office/drawing/2014/main" id="{C769C2E0-774C-4752-9598-C91819791A3C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9" name="Freeform: Shape 1448">
            <a:extLst>
              <a:ext uri="{FF2B5EF4-FFF2-40B4-BE49-F238E27FC236}">
                <a16:creationId xmlns:a16="http://schemas.microsoft.com/office/drawing/2014/main" id="{78C58C03-50AD-4046-AD9F-11A62BC78695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450" name="Straight Connector 1449">
            <a:extLst>
              <a:ext uri="{FF2B5EF4-FFF2-40B4-BE49-F238E27FC236}">
                <a16:creationId xmlns:a16="http://schemas.microsoft.com/office/drawing/2014/main" id="{B3CD31B3-BC71-47A1-96A7-0F6E8490EDCD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1" name="Straight Connector 1450">
            <a:extLst>
              <a:ext uri="{FF2B5EF4-FFF2-40B4-BE49-F238E27FC236}">
                <a16:creationId xmlns:a16="http://schemas.microsoft.com/office/drawing/2014/main" id="{A5BBD855-E8AA-4743-93FB-FD18990F227E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2" name="Straight Connector 1451">
            <a:extLst>
              <a:ext uri="{FF2B5EF4-FFF2-40B4-BE49-F238E27FC236}">
                <a16:creationId xmlns:a16="http://schemas.microsoft.com/office/drawing/2014/main" id="{A243F6D7-FD91-4258-80F3-6F0D67A578D8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3" name="Straight Connector 1452">
            <a:extLst>
              <a:ext uri="{FF2B5EF4-FFF2-40B4-BE49-F238E27FC236}">
                <a16:creationId xmlns:a16="http://schemas.microsoft.com/office/drawing/2014/main" id="{CE5CB360-F24B-4108-9EAE-D039277E042A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4" name="Straight Connector 1453">
            <a:extLst>
              <a:ext uri="{FF2B5EF4-FFF2-40B4-BE49-F238E27FC236}">
                <a16:creationId xmlns:a16="http://schemas.microsoft.com/office/drawing/2014/main" id="{2CBEC961-5BF0-4E36-A34A-126BEE81B324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5" name="Straight Connector 1454">
            <a:extLst>
              <a:ext uri="{FF2B5EF4-FFF2-40B4-BE49-F238E27FC236}">
                <a16:creationId xmlns:a16="http://schemas.microsoft.com/office/drawing/2014/main" id="{AFA4EDA1-CE88-4E9E-AE19-2C7672CFCBED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6" name="Straight Connector 1455">
            <a:extLst>
              <a:ext uri="{FF2B5EF4-FFF2-40B4-BE49-F238E27FC236}">
                <a16:creationId xmlns:a16="http://schemas.microsoft.com/office/drawing/2014/main" id="{F1EA9FD1-AD46-46A7-8139-FD98340534B5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7" name="Straight Connector 1456">
            <a:extLst>
              <a:ext uri="{FF2B5EF4-FFF2-40B4-BE49-F238E27FC236}">
                <a16:creationId xmlns:a16="http://schemas.microsoft.com/office/drawing/2014/main" id="{7B8BFEB8-5890-4B29-B9D4-4573A1F74AF3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8" name="Straight Connector 1457">
            <a:extLst>
              <a:ext uri="{FF2B5EF4-FFF2-40B4-BE49-F238E27FC236}">
                <a16:creationId xmlns:a16="http://schemas.microsoft.com/office/drawing/2014/main" id="{EE3C34CC-A893-41CB-A63E-D43C8C4BC331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9" name="Straight Connector 1458">
            <a:extLst>
              <a:ext uri="{FF2B5EF4-FFF2-40B4-BE49-F238E27FC236}">
                <a16:creationId xmlns:a16="http://schemas.microsoft.com/office/drawing/2014/main" id="{B74C1489-E647-4745-BE4A-BB748316083E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60" name="Freeform: Shape 1459">
            <a:extLst>
              <a:ext uri="{FF2B5EF4-FFF2-40B4-BE49-F238E27FC236}">
                <a16:creationId xmlns:a16="http://schemas.microsoft.com/office/drawing/2014/main" id="{FBC077C9-260A-448F-96C1-974BF3DFBEFE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290</xdr:row>
      <xdr:rowOff>61913</xdr:rowOff>
    </xdr:from>
    <xdr:to>
      <xdr:col>31</xdr:col>
      <xdr:colOff>90488</xdr:colOff>
      <xdr:row>329</xdr:row>
      <xdr:rowOff>85725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8F2AF7B4-8042-4E83-995D-139A7DD0F7CF}"/>
            </a:ext>
          </a:extLst>
        </xdr:cNvPr>
        <xdr:cNvGrpSpPr/>
      </xdr:nvGrpSpPr>
      <xdr:grpSpPr>
        <a:xfrm>
          <a:off x="395288" y="44953238"/>
          <a:ext cx="4714875" cy="5595937"/>
          <a:chOff x="395288" y="14682788"/>
          <a:chExt cx="4714875" cy="5595937"/>
        </a:xfrm>
      </xdr:grpSpPr>
      <xdr:cxnSp macro="">
        <xdr:nvCxnSpPr>
          <xdr:cNvPr id="1462" name="Straight Connector 1461">
            <a:extLst>
              <a:ext uri="{FF2B5EF4-FFF2-40B4-BE49-F238E27FC236}">
                <a16:creationId xmlns:a16="http://schemas.microsoft.com/office/drawing/2014/main" id="{8014532B-1DEC-4363-9417-98C49CBBE3CF}"/>
              </a:ext>
            </a:extLst>
          </xdr:cNvPr>
          <xdr:cNvCxnSpPr/>
        </xdr:nvCxnSpPr>
        <xdr:spPr>
          <a:xfrm flipH="1">
            <a:off x="2757488" y="15344775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3" name="Straight Connector 1462">
            <a:extLst>
              <a:ext uri="{FF2B5EF4-FFF2-40B4-BE49-F238E27FC236}">
                <a16:creationId xmlns:a16="http://schemas.microsoft.com/office/drawing/2014/main" id="{2AB6A5AC-2EE7-46AA-AA0F-A3267466DFD0}"/>
              </a:ext>
            </a:extLst>
          </xdr:cNvPr>
          <xdr:cNvCxnSpPr/>
        </xdr:nvCxnSpPr>
        <xdr:spPr>
          <a:xfrm>
            <a:off x="1547813" y="15344775"/>
            <a:ext cx="1200150" cy="1975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4" name="Straight Connector 1463">
            <a:extLst>
              <a:ext uri="{FF2B5EF4-FFF2-40B4-BE49-F238E27FC236}">
                <a16:creationId xmlns:a16="http://schemas.microsoft.com/office/drawing/2014/main" id="{C627FBD2-D35E-4962-87D9-A6960CFA59BB}"/>
              </a:ext>
            </a:extLst>
          </xdr:cNvPr>
          <xdr:cNvCxnSpPr/>
        </xdr:nvCxnSpPr>
        <xdr:spPr>
          <a:xfrm>
            <a:off x="1133475" y="16511588"/>
            <a:ext cx="1624013" cy="11239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5" name="Straight Connector 1464">
            <a:extLst>
              <a:ext uri="{FF2B5EF4-FFF2-40B4-BE49-F238E27FC236}">
                <a16:creationId xmlns:a16="http://schemas.microsoft.com/office/drawing/2014/main" id="{53EACF70-0FE4-47B7-8BE3-022411AD4D96}"/>
              </a:ext>
            </a:extLst>
          </xdr:cNvPr>
          <xdr:cNvCxnSpPr/>
        </xdr:nvCxnSpPr>
        <xdr:spPr>
          <a:xfrm>
            <a:off x="1138238" y="17102138"/>
            <a:ext cx="1614487" cy="6703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6" name="Straight Connector 1465">
            <a:extLst>
              <a:ext uri="{FF2B5EF4-FFF2-40B4-BE49-F238E27FC236}">
                <a16:creationId xmlns:a16="http://schemas.microsoft.com/office/drawing/2014/main" id="{8512DBC6-7D55-4829-9D35-CB9C73BFC053}"/>
              </a:ext>
            </a:extLst>
          </xdr:cNvPr>
          <xdr:cNvCxnSpPr/>
        </xdr:nvCxnSpPr>
        <xdr:spPr>
          <a:xfrm>
            <a:off x="1143000" y="18007013"/>
            <a:ext cx="1604963" cy="2238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7" name="Straight Connector 1466">
            <a:extLst>
              <a:ext uri="{FF2B5EF4-FFF2-40B4-BE49-F238E27FC236}">
                <a16:creationId xmlns:a16="http://schemas.microsoft.com/office/drawing/2014/main" id="{E131BAA9-AF09-4735-815A-BD1D01FE0D7E}"/>
              </a:ext>
            </a:extLst>
          </xdr:cNvPr>
          <xdr:cNvCxnSpPr/>
        </xdr:nvCxnSpPr>
        <xdr:spPr>
          <a:xfrm>
            <a:off x="1114425" y="18392775"/>
            <a:ext cx="1638300" cy="901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8" name="Straight Connector 1467">
            <a:extLst>
              <a:ext uri="{FF2B5EF4-FFF2-40B4-BE49-F238E27FC236}">
                <a16:creationId xmlns:a16="http://schemas.microsoft.com/office/drawing/2014/main" id="{A194BD85-A6F1-4485-B93D-799389252753}"/>
              </a:ext>
            </a:extLst>
          </xdr:cNvPr>
          <xdr:cNvCxnSpPr/>
        </xdr:nvCxnSpPr>
        <xdr:spPr>
          <a:xfrm flipV="1">
            <a:off x="2752725" y="18388015"/>
            <a:ext cx="1609725" cy="96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9" name="Straight Connector 1468">
            <a:extLst>
              <a:ext uri="{FF2B5EF4-FFF2-40B4-BE49-F238E27FC236}">
                <a16:creationId xmlns:a16="http://schemas.microsoft.com/office/drawing/2014/main" id="{1FEAFDF4-C79C-4CE8-8F6F-0CA0F4E9F801}"/>
              </a:ext>
            </a:extLst>
          </xdr:cNvPr>
          <xdr:cNvCxnSpPr/>
        </xdr:nvCxnSpPr>
        <xdr:spPr>
          <a:xfrm flipV="1">
            <a:off x="2747963" y="17592675"/>
            <a:ext cx="1628775" cy="41965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0" name="Straight Connector 1469">
            <a:extLst>
              <a:ext uri="{FF2B5EF4-FFF2-40B4-BE49-F238E27FC236}">
                <a16:creationId xmlns:a16="http://schemas.microsoft.com/office/drawing/2014/main" id="{367F27AA-6F8F-4F66-AE51-AAA228949790}"/>
              </a:ext>
            </a:extLst>
          </xdr:cNvPr>
          <xdr:cNvCxnSpPr/>
        </xdr:nvCxnSpPr>
        <xdr:spPr>
          <a:xfrm flipV="1">
            <a:off x="2752725" y="17092613"/>
            <a:ext cx="1619250" cy="67892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1" name="Straight Connector 1470">
            <a:extLst>
              <a:ext uri="{FF2B5EF4-FFF2-40B4-BE49-F238E27FC236}">
                <a16:creationId xmlns:a16="http://schemas.microsoft.com/office/drawing/2014/main" id="{37D1FE76-6F10-46EC-B444-D0F701064668}"/>
              </a:ext>
            </a:extLst>
          </xdr:cNvPr>
          <xdr:cNvCxnSpPr/>
        </xdr:nvCxnSpPr>
        <xdr:spPr>
          <a:xfrm flipV="1">
            <a:off x="2757488" y="16530638"/>
            <a:ext cx="1614487" cy="110059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2" name="Straight Connector 1471">
            <a:extLst>
              <a:ext uri="{FF2B5EF4-FFF2-40B4-BE49-F238E27FC236}">
                <a16:creationId xmlns:a16="http://schemas.microsoft.com/office/drawing/2014/main" id="{1B093511-506E-4AA8-997E-E3192F8CF601}"/>
              </a:ext>
            </a:extLst>
          </xdr:cNvPr>
          <xdr:cNvCxnSpPr/>
        </xdr:nvCxnSpPr>
        <xdr:spPr>
          <a:xfrm flipH="1">
            <a:off x="2757297" y="15330488"/>
            <a:ext cx="1205103" cy="1995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3" name="Straight Connector 1472">
            <a:extLst>
              <a:ext uri="{FF2B5EF4-FFF2-40B4-BE49-F238E27FC236}">
                <a16:creationId xmlns:a16="http://schemas.microsoft.com/office/drawing/2014/main" id="{A871D2E5-6371-4452-A9E3-15A2FA18A7A2}"/>
              </a:ext>
            </a:extLst>
          </xdr:cNvPr>
          <xdr:cNvCxnSpPr/>
        </xdr:nvCxnSpPr>
        <xdr:spPr>
          <a:xfrm flipV="1">
            <a:off x="2867025" y="15340015"/>
            <a:ext cx="457200" cy="142820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4" name="Straight Connector 1473">
            <a:extLst>
              <a:ext uri="{FF2B5EF4-FFF2-40B4-BE49-F238E27FC236}">
                <a16:creationId xmlns:a16="http://schemas.microsoft.com/office/drawing/2014/main" id="{B185DF4E-7C1A-461E-8C62-3DDE07029058}"/>
              </a:ext>
            </a:extLst>
          </xdr:cNvPr>
          <xdr:cNvCxnSpPr/>
        </xdr:nvCxnSpPr>
        <xdr:spPr>
          <a:xfrm flipV="1">
            <a:off x="2757488" y="18016539"/>
            <a:ext cx="1614487" cy="2150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5" name="Straight Connector 1474">
            <a:extLst>
              <a:ext uri="{FF2B5EF4-FFF2-40B4-BE49-F238E27FC236}">
                <a16:creationId xmlns:a16="http://schemas.microsoft.com/office/drawing/2014/main" id="{967BC9DA-5ED0-4556-AF93-D16156D31921}"/>
              </a:ext>
            </a:extLst>
          </xdr:cNvPr>
          <xdr:cNvCxnSpPr/>
        </xdr:nvCxnSpPr>
        <xdr:spPr>
          <a:xfrm flipV="1">
            <a:off x="2752725" y="15197138"/>
            <a:ext cx="0" cy="479107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6" name="Straight Connector 1475">
            <a:extLst>
              <a:ext uri="{FF2B5EF4-FFF2-40B4-BE49-F238E27FC236}">
                <a16:creationId xmlns:a16="http://schemas.microsoft.com/office/drawing/2014/main" id="{19D31F97-2D92-4A28-B8DB-1703CCC694F4}"/>
              </a:ext>
            </a:extLst>
          </xdr:cNvPr>
          <xdr:cNvCxnSpPr/>
        </xdr:nvCxnSpPr>
        <xdr:spPr>
          <a:xfrm>
            <a:off x="2181225" y="15344775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7" name="Straight Connector 1476">
            <a:extLst>
              <a:ext uri="{FF2B5EF4-FFF2-40B4-BE49-F238E27FC236}">
                <a16:creationId xmlns:a16="http://schemas.microsoft.com/office/drawing/2014/main" id="{25ADEEFF-4641-4026-8BE1-D0B968E4A797}"/>
              </a:ext>
            </a:extLst>
          </xdr:cNvPr>
          <xdr:cNvCxnSpPr/>
        </xdr:nvCxnSpPr>
        <xdr:spPr>
          <a:xfrm>
            <a:off x="1143000" y="15768638"/>
            <a:ext cx="1614488" cy="1719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8" name="Straight Connector 1477">
            <a:extLst>
              <a:ext uri="{FF2B5EF4-FFF2-40B4-BE49-F238E27FC236}">
                <a16:creationId xmlns:a16="http://schemas.microsoft.com/office/drawing/2014/main" id="{8158180D-8E3C-470B-BFFB-9ED7847E37E5}"/>
              </a:ext>
            </a:extLst>
          </xdr:cNvPr>
          <xdr:cNvCxnSpPr/>
        </xdr:nvCxnSpPr>
        <xdr:spPr>
          <a:xfrm flipV="1">
            <a:off x="2762250" y="15773400"/>
            <a:ext cx="1604963" cy="1709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9" name="Straight Connector 1478">
            <a:extLst>
              <a:ext uri="{FF2B5EF4-FFF2-40B4-BE49-F238E27FC236}">
                <a16:creationId xmlns:a16="http://schemas.microsoft.com/office/drawing/2014/main" id="{1FBB22D8-4651-447B-AC2E-A9419E6CF4F9}"/>
              </a:ext>
            </a:extLst>
          </xdr:cNvPr>
          <xdr:cNvCxnSpPr/>
        </xdr:nvCxnSpPr>
        <xdr:spPr>
          <a:xfrm flipV="1">
            <a:off x="2752725" y="15335250"/>
            <a:ext cx="0" cy="142875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0" name="Straight Connector 1479">
            <a:extLst>
              <a:ext uri="{FF2B5EF4-FFF2-40B4-BE49-F238E27FC236}">
                <a16:creationId xmlns:a16="http://schemas.microsoft.com/office/drawing/2014/main" id="{F0B799B5-18D8-4BA9-A1EC-49C1E9B15A4E}"/>
              </a:ext>
            </a:extLst>
          </xdr:cNvPr>
          <xdr:cNvCxnSpPr/>
        </xdr:nvCxnSpPr>
        <xdr:spPr>
          <a:xfrm flipH="1" flipV="1">
            <a:off x="2181225" y="15335250"/>
            <a:ext cx="466178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1" name="Straight Connector 1480">
            <a:extLst>
              <a:ext uri="{FF2B5EF4-FFF2-40B4-BE49-F238E27FC236}">
                <a16:creationId xmlns:a16="http://schemas.microsoft.com/office/drawing/2014/main" id="{D4C8B2F5-9F9B-4894-AA44-7A82884E0B43}"/>
              </a:ext>
            </a:extLst>
          </xdr:cNvPr>
          <xdr:cNvCxnSpPr/>
        </xdr:nvCxnSpPr>
        <xdr:spPr>
          <a:xfrm flipH="1" flipV="1">
            <a:off x="1547813" y="15340013"/>
            <a:ext cx="1042987" cy="17287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2" name="Straight Connector 1481">
            <a:extLst>
              <a:ext uri="{FF2B5EF4-FFF2-40B4-BE49-F238E27FC236}">
                <a16:creationId xmlns:a16="http://schemas.microsoft.com/office/drawing/2014/main" id="{1C7CA18F-B7DE-42A2-8C9D-C6BE9B250597}"/>
              </a:ext>
            </a:extLst>
          </xdr:cNvPr>
          <xdr:cNvCxnSpPr/>
        </xdr:nvCxnSpPr>
        <xdr:spPr>
          <a:xfrm flipH="1">
            <a:off x="2914651" y="15330488"/>
            <a:ext cx="1057274" cy="17287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3" name="Straight Connector 1482">
            <a:extLst>
              <a:ext uri="{FF2B5EF4-FFF2-40B4-BE49-F238E27FC236}">
                <a16:creationId xmlns:a16="http://schemas.microsoft.com/office/drawing/2014/main" id="{29EC0217-1CEE-430A-84C5-E5169B81169B}"/>
              </a:ext>
            </a:extLst>
          </xdr:cNvPr>
          <xdr:cNvCxnSpPr/>
        </xdr:nvCxnSpPr>
        <xdr:spPr>
          <a:xfrm flipH="1" flipV="1">
            <a:off x="1138239" y="15768638"/>
            <a:ext cx="1462086" cy="15525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4" name="Straight Connector 1483">
            <a:extLst>
              <a:ext uri="{FF2B5EF4-FFF2-40B4-BE49-F238E27FC236}">
                <a16:creationId xmlns:a16="http://schemas.microsoft.com/office/drawing/2014/main" id="{EF9BBFF1-AB23-4C53-ADC3-D4030C6395C5}"/>
              </a:ext>
            </a:extLst>
          </xdr:cNvPr>
          <xdr:cNvCxnSpPr/>
        </xdr:nvCxnSpPr>
        <xdr:spPr>
          <a:xfrm flipH="1">
            <a:off x="2914650" y="15759112"/>
            <a:ext cx="1457325" cy="15668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5" name="Straight Connector 1484">
            <a:extLst>
              <a:ext uri="{FF2B5EF4-FFF2-40B4-BE49-F238E27FC236}">
                <a16:creationId xmlns:a16="http://schemas.microsoft.com/office/drawing/2014/main" id="{03108B90-A0A9-42DC-9859-65C224AC3EFF}"/>
              </a:ext>
            </a:extLst>
          </xdr:cNvPr>
          <xdr:cNvCxnSpPr/>
        </xdr:nvCxnSpPr>
        <xdr:spPr>
          <a:xfrm flipH="1" flipV="1">
            <a:off x="1128713" y="16511588"/>
            <a:ext cx="1462087" cy="1014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6" name="Straight Connector 1485">
            <a:extLst>
              <a:ext uri="{FF2B5EF4-FFF2-40B4-BE49-F238E27FC236}">
                <a16:creationId xmlns:a16="http://schemas.microsoft.com/office/drawing/2014/main" id="{324BE0E8-ADB4-4540-A734-0FAAF81D1BC2}"/>
              </a:ext>
            </a:extLst>
          </xdr:cNvPr>
          <xdr:cNvCxnSpPr/>
        </xdr:nvCxnSpPr>
        <xdr:spPr>
          <a:xfrm flipH="1">
            <a:off x="2919413" y="16525875"/>
            <a:ext cx="1457325" cy="9953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7" name="Straight Connector 1486">
            <a:extLst>
              <a:ext uri="{FF2B5EF4-FFF2-40B4-BE49-F238E27FC236}">
                <a16:creationId xmlns:a16="http://schemas.microsoft.com/office/drawing/2014/main" id="{1AD81E61-547A-4287-AB14-EBB5B257A29B}"/>
              </a:ext>
            </a:extLst>
          </xdr:cNvPr>
          <xdr:cNvCxnSpPr/>
        </xdr:nvCxnSpPr>
        <xdr:spPr>
          <a:xfrm flipH="1" flipV="1">
            <a:off x="1138238" y="17102136"/>
            <a:ext cx="1466850" cy="61436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8" name="Straight Connector 1487">
            <a:extLst>
              <a:ext uri="{FF2B5EF4-FFF2-40B4-BE49-F238E27FC236}">
                <a16:creationId xmlns:a16="http://schemas.microsoft.com/office/drawing/2014/main" id="{CC2DD3D1-A227-4D98-8AE1-EBFC649A0317}"/>
              </a:ext>
            </a:extLst>
          </xdr:cNvPr>
          <xdr:cNvCxnSpPr/>
        </xdr:nvCxnSpPr>
        <xdr:spPr>
          <a:xfrm flipH="1">
            <a:off x="2914652" y="17092613"/>
            <a:ext cx="1466848" cy="60959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9" name="Straight Connector 1488">
            <a:extLst>
              <a:ext uri="{FF2B5EF4-FFF2-40B4-BE49-F238E27FC236}">
                <a16:creationId xmlns:a16="http://schemas.microsoft.com/office/drawing/2014/main" id="{004F7A0D-4735-44BF-A266-4B8F9C5459AE}"/>
              </a:ext>
            </a:extLst>
          </xdr:cNvPr>
          <xdr:cNvCxnSpPr/>
        </xdr:nvCxnSpPr>
        <xdr:spPr>
          <a:xfrm flipH="1" flipV="1">
            <a:off x="1133475" y="17583150"/>
            <a:ext cx="1457325" cy="3810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0" name="Straight Connector 1489">
            <a:extLst>
              <a:ext uri="{FF2B5EF4-FFF2-40B4-BE49-F238E27FC236}">
                <a16:creationId xmlns:a16="http://schemas.microsoft.com/office/drawing/2014/main" id="{C0487109-5E93-497D-A8E0-219984755A81}"/>
              </a:ext>
            </a:extLst>
          </xdr:cNvPr>
          <xdr:cNvCxnSpPr/>
        </xdr:nvCxnSpPr>
        <xdr:spPr>
          <a:xfrm flipH="1">
            <a:off x="2919413" y="17592675"/>
            <a:ext cx="1452562" cy="37623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1" name="Straight Connector 1490">
            <a:extLst>
              <a:ext uri="{FF2B5EF4-FFF2-40B4-BE49-F238E27FC236}">
                <a16:creationId xmlns:a16="http://schemas.microsoft.com/office/drawing/2014/main" id="{A24AFE7E-127C-496B-AC5B-386F46C6CA01}"/>
              </a:ext>
            </a:extLst>
          </xdr:cNvPr>
          <xdr:cNvCxnSpPr/>
        </xdr:nvCxnSpPr>
        <xdr:spPr>
          <a:xfrm flipH="1" flipV="1">
            <a:off x="1138238" y="18002250"/>
            <a:ext cx="1452563" cy="20478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2" name="Straight Connector 1491">
            <a:extLst>
              <a:ext uri="{FF2B5EF4-FFF2-40B4-BE49-F238E27FC236}">
                <a16:creationId xmlns:a16="http://schemas.microsoft.com/office/drawing/2014/main" id="{2AD59591-0F57-4820-8C53-0B4ACD67CEA7}"/>
              </a:ext>
            </a:extLst>
          </xdr:cNvPr>
          <xdr:cNvCxnSpPr/>
        </xdr:nvCxnSpPr>
        <xdr:spPr>
          <a:xfrm flipH="1">
            <a:off x="2904197" y="18021300"/>
            <a:ext cx="1467779" cy="1905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3" name="Straight Connector 1492">
            <a:extLst>
              <a:ext uri="{FF2B5EF4-FFF2-40B4-BE49-F238E27FC236}">
                <a16:creationId xmlns:a16="http://schemas.microsoft.com/office/drawing/2014/main" id="{CD7BF09C-36A7-449E-8A9D-4806B607AC0F}"/>
              </a:ext>
            </a:extLst>
          </xdr:cNvPr>
          <xdr:cNvCxnSpPr/>
        </xdr:nvCxnSpPr>
        <xdr:spPr>
          <a:xfrm flipH="1" flipV="1">
            <a:off x="1123950" y="18392777"/>
            <a:ext cx="1466850" cy="8095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4" name="Straight Connector 1493">
            <a:extLst>
              <a:ext uri="{FF2B5EF4-FFF2-40B4-BE49-F238E27FC236}">
                <a16:creationId xmlns:a16="http://schemas.microsoft.com/office/drawing/2014/main" id="{23A366E8-DAC3-447F-BD42-C2F69699C437}"/>
              </a:ext>
            </a:extLst>
          </xdr:cNvPr>
          <xdr:cNvCxnSpPr/>
        </xdr:nvCxnSpPr>
        <xdr:spPr>
          <a:xfrm flipH="1">
            <a:off x="2914649" y="18388013"/>
            <a:ext cx="1462089" cy="8571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5" name="Straight Connector 1494">
            <a:extLst>
              <a:ext uri="{FF2B5EF4-FFF2-40B4-BE49-F238E27FC236}">
                <a16:creationId xmlns:a16="http://schemas.microsoft.com/office/drawing/2014/main" id="{C9B7558A-AACB-4EEA-96D1-F6700DA73565}"/>
              </a:ext>
            </a:extLst>
          </xdr:cNvPr>
          <xdr:cNvCxnSpPr/>
        </xdr:nvCxnSpPr>
        <xdr:spPr>
          <a:xfrm>
            <a:off x="1066799" y="19907250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6" name="Straight Connector 1495">
            <a:extLst>
              <a:ext uri="{FF2B5EF4-FFF2-40B4-BE49-F238E27FC236}">
                <a16:creationId xmlns:a16="http://schemas.microsoft.com/office/drawing/2014/main" id="{F18CF432-E7FE-425F-9D60-CA87DC8CEC8F}"/>
              </a:ext>
            </a:extLst>
          </xdr:cNvPr>
          <xdr:cNvCxnSpPr/>
        </xdr:nvCxnSpPr>
        <xdr:spPr>
          <a:xfrm>
            <a:off x="1133475" y="19116675"/>
            <a:ext cx="0" cy="1143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7" name="Straight Connector 1496">
            <a:extLst>
              <a:ext uri="{FF2B5EF4-FFF2-40B4-BE49-F238E27FC236}">
                <a16:creationId xmlns:a16="http://schemas.microsoft.com/office/drawing/2014/main" id="{696B8F7D-6BA1-499D-B592-15335139BEC9}"/>
              </a:ext>
            </a:extLst>
          </xdr:cNvPr>
          <xdr:cNvCxnSpPr/>
        </xdr:nvCxnSpPr>
        <xdr:spPr>
          <a:xfrm flipH="1">
            <a:off x="1090613" y="198691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8" name="Straight Connector 1497">
            <a:extLst>
              <a:ext uri="{FF2B5EF4-FFF2-40B4-BE49-F238E27FC236}">
                <a16:creationId xmlns:a16="http://schemas.microsoft.com/office/drawing/2014/main" id="{D969EFE2-FF03-46E3-BA62-6414A82764FA}"/>
              </a:ext>
            </a:extLst>
          </xdr:cNvPr>
          <xdr:cNvCxnSpPr/>
        </xdr:nvCxnSpPr>
        <xdr:spPr>
          <a:xfrm>
            <a:off x="4371975" y="19116675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9" name="Straight Connector 1498">
            <a:extLst>
              <a:ext uri="{FF2B5EF4-FFF2-40B4-BE49-F238E27FC236}">
                <a16:creationId xmlns:a16="http://schemas.microsoft.com/office/drawing/2014/main" id="{F5084BD2-1C84-451B-8728-B1B4AF81DDC8}"/>
              </a:ext>
            </a:extLst>
          </xdr:cNvPr>
          <xdr:cNvCxnSpPr/>
        </xdr:nvCxnSpPr>
        <xdr:spPr>
          <a:xfrm flipH="1">
            <a:off x="4329113" y="198691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0" name="Straight Connector 1499">
            <a:extLst>
              <a:ext uri="{FF2B5EF4-FFF2-40B4-BE49-F238E27FC236}">
                <a16:creationId xmlns:a16="http://schemas.microsoft.com/office/drawing/2014/main" id="{2AF3E9AA-898E-4FB6-8483-0D50AEF73234}"/>
              </a:ext>
            </a:extLst>
          </xdr:cNvPr>
          <xdr:cNvCxnSpPr/>
        </xdr:nvCxnSpPr>
        <xdr:spPr>
          <a:xfrm flipH="1">
            <a:off x="2709862" y="1986915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1" name="Straight Connector 1500">
            <a:extLst>
              <a:ext uri="{FF2B5EF4-FFF2-40B4-BE49-F238E27FC236}">
                <a16:creationId xmlns:a16="http://schemas.microsoft.com/office/drawing/2014/main" id="{58D60170-7CED-4D7A-98D2-D7689B84D07A}"/>
              </a:ext>
            </a:extLst>
          </xdr:cNvPr>
          <xdr:cNvCxnSpPr/>
        </xdr:nvCxnSpPr>
        <xdr:spPr>
          <a:xfrm>
            <a:off x="1066800" y="19335750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2" name="Straight Connector 1501">
            <a:extLst>
              <a:ext uri="{FF2B5EF4-FFF2-40B4-BE49-F238E27FC236}">
                <a16:creationId xmlns:a16="http://schemas.microsoft.com/office/drawing/2014/main" id="{8D96F386-CB43-4844-B399-1E7DA1B68C7B}"/>
              </a:ext>
            </a:extLst>
          </xdr:cNvPr>
          <xdr:cNvCxnSpPr/>
        </xdr:nvCxnSpPr>
        <xdr:spPr>
          <a:xfrm>
            <a:off x="2590800" y="1910715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3" name="Straight Connector 1502">
            <a:extLst>
              <a:ext uri="{FF2B5EF4-FFF2-40B4-BE49-F238E27FC236}">
                <a16:creationId xmlns:a16="http://schemas.microsoft.com/office/drawing/2014/main" id="{4996F20F-FE56-4822-B557-3AC87B7F3461}"/>
              </a:ext>
            </a:extLst>
          </xdr:cNvPr>
          <xdr:cNvCxnSpPr/>
        </xdr:nvCxnSpPr>
        <xdr:spPr>
          <a:xfrm flipH="1">
            <a:off x="2543175" y="19292887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4" name="Straight Connector 1503">
            <a:extLst>
              <a:ext uri="{FF2B5EF4-FFF2-40B4-BE49-F238E27FC236}">
                <a16:creationId xmlns:a16="http://schemas.microsoft.com/office/drawing/2014/main" id="{89088973-300B-446A-9D58-177625CCC0D1}"/>
              </a:ext>
            </a:extLst>
          </xdr:cNvPr>
          <xdr:cNvCxnSpPr/>
        </xdr:nvCxnSpPr>
        <xdr:spPr>
          <a:xfrm>
            <a:off x="2914650" y="19126200"/>
            <a:ext cx="0" cy="2809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5" name="Straight Connector 1504">
            <a:extLst>
              <a:ext uri="{FF2B5EF4-FFF2-40B4-BE49-F238E27FC236}">
                <a16:creationId xmlns:a16="http://schemas.microsoft.com/office/drawing/2014/main" id="{551FE140-F609-49B2-8D03-A38118F9F4F9}"/>
              </a:ext>
            </a:extLst>
          </xdr:cNvPr>
          <xdr:cNvCxnSpPr/>
        </xdr:nvCxnSpPr>
        <xdr:spPr>
          <a:xfrm flipH="1">
            <a:off x="2867025" y="1929288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6" name="Straight Connector 1505">
            <a:extLst>
              <a:ext uri="{FF2B5EF4-FFF2-40B4-BE49-F238E27FC236}">
                <a16:creationId xmlns:a16="http://schemas.microsoft.com/office/drawing/2014/main" id="{B385A4C1-74D4-42C6-809D-50A023350187}"/>
              </a:ext>
            </a:extLst>
          </xdr:cNvPr>
          <xdr:cNvCxnSpPr/>
        </xdr:nvCxnSpPr>
        <xdr:spPr>
          <a:xfrm flipH="1">
            <a:off x="3190882" y="18726152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7" name="Straight Connector 1506">
            <a:extLst>
              <a:ext uri="{FF2B5EF4-FFF2-40B4-BE49-F238E27FC236}">
                <a16:creationId xmlns:a16="http://schemas.microsoft.com/office/drawing/2014/main" id="{E5FA0A47-E0D7-4D84-89DB-FE83F00944A2}"/>
              </a:ext>
            </a:extLst>
          </xdr:cNvPr>
          <xdr:cNvCxnSpPr/>
        </xdr:nvCxnSpPr>
        <xdr:spPr>
          <a:xfrm>
            <a:off x="1828800" y="18973802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8" name="Straight Connector 1507">
            <a:extLst>
              <a:ext uri="{FF2B5EF4-FFF2-40B4-BE49-F238E27FC236}">
                <a16:creationId xmlns:a16="http://schemas.microsoft.com/office/drawing/2014/main" id="{115146D6-B3B2-4437-8047-0EDE3AA53970}"/>
              </a:ext>
            </a:extLst>
          </xdr:cNvPr>
          <xdr:cNvCxnSpPr/>
        </xdr:nvCxnSpPr>
        <xdr:spPr>
          <a:xfrm>
            <a:off x="1890712" y="18978566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9" name="Straight Connector 1508">
            <a:extLst>
              <a:ext uri="{FF2B5EF4-FFF2-40B4-BE49-F238E27FC236}">
                <a16:creationId xmlns:a16="http://schemas.microsoft.com/office/drawing/2014/main" id="{A2C0F7FE-1674-4A44-A87A-BDB47C43DD3B}"/>
              </a:ext>
            </a:extLst>
          </xdr:cNvPr>
          <xdr:cNvCxnSpPr/>
        </xdr:nvCxnSpPr>
        <xdr:spPr>
          <a:xfrm flipH="1">
            <a:off x="1090613" y="19297642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0" name="Straight Connector 1509">
            <a:extLst>
              <a:ext uri="{FF2B5EF4-FFF2-40B4-BE49-F238E27FC236}">
                <a16:creationId xmlns:a16="http://schemas.microsoft.com/office/drawing/2014/main" id="{54A81861-236F-4609-8224-DF774F78D309}"/>
              </a:ext>
            </a:extLst>
          </xdr:cNvPr>
          <xdr:cNvCxnSpPr/>
        </xdr:nvCxnSpPr>
        <xdr:spPr>
          <a:xfrm>
            <a:off x="1857375" y="1947862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1" name="Straight Connector 1510">
            <a:extLst>
              <a:ext uri="{FF2B5EF4-FFF2-40B4-BE49-F238E27FC236}">
                <a16:creationId xmlns:a16="http://schemas.microsoft.com/office/drawing/2014/main" id="{C055DB3E-55CF-458A-A237-A0255518E591}"/>
              </a:ext>
            </a:extLst>
          </xdr:cNvPr>
          <xdr:cNvCxnSpPr/>
        </xdr:nvCxnSpPr>
        <xdr:spPr>
          <a:xfrm>
            <a:off x="3648075" y="1936908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2" name="Straight Connector 1511">
            <a:extLst>
              <a:ext uri="{FF2B5EF4-FFF2-40B4-BE49-F238E27FC236}">
                <a16:creationId xmlns:a16="http://schemas.microsoft.com/office/drawing/2014/main" id="{3D627980-E074-4FF6-A110-7606FEC2BF53}"/>
              </a:ext>
            </a:extLst>
          </xdr:cNvPr>
          <xdr:cNvCxnSpPr/>
        </xdr:nvCxnSpPr>
        <xdr:spPr>
          <a:xfrm flipH="1">
            <a:off x="3605212" y="1958340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3" name="Straight Connector 1512">
            <a:extLst>
              <a:ext uri="{FF2B5EF4-FFF2-40B4-BE49-F238E27FC236}">
                <a16:creationId xmlns:a16="http://schemas.microsoft.com/office/drawing/2014/main" id="{D4B5DBFC-6B2C-4385-B52A-193FDF0AC073}"/>
              </a:ext>
            </a:extLst>
          </xdr:cNvPr>
          <xdr:cNvCxnSpPr/>
        </xdr:nvCxnSpPr>
        <xdr:spPr>
          <a:xfrm flipV="1">
            <a:off x="1133475" y="14697075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4" name="Straight Connector 1513">
            <a:extLst>
              <a:ext uri="{FF2B5EF4-FFF2-40B4-BE49-F238E27FC236}">
                <a16:creationId xmlns:a16="http://schemas.microsoft.com/office/drawing/2014/main" id="{B2DE55BA-C70D-4A4B-A6AA-8ACD3FFC689F}"/>
              </a:ext>
            </a:extLst>
          </xdr:cNvPr>
          <xdr:cNvCxnSpPr/>
        </xdr:nvCxnSpPr>
        <xdr:spPr>
          <a:xfrm>
            <a:off x="1062038" y="1504950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5" name="Straight Connector 1514">
            <a:extLst>
              <a:ext uri="{FF2B5EF4-FFF2-40B4-BE49-F238E27FC236}">
                <a16:creationId xmlns:a16="http://schemas.microsoft.com/office/drawing/2014/main" id="{99853BF2-08B2-4EBB-B04E-0C69DFD5323F}"/>
              </a:ext>
            </a:extLst>
          </xdr:cNvPr>
          <xdr:cNvCxnSpPr/>
        </xdr:nvCxnSpPr>
        <xdr:spPr>
          <a:xfrm flipH="1">
            <a:off x="1085845" y="150114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6" name="Straight Connector 1515">
            <a:extLst>
              <a:ext uri="{FF2B5EF4-FFF2-40B4-BE49-F238E27FC236}">
                <a16:creationId xmlns:a16="http://schemas.microsoft.com/office/drawing/2014/main" id="{A9A9AC0A-F4C5-4B1E-8F3C-04FE2B3BE25D}"/>
              </a:ext>
            </a:extLst>
          </xdr:cNvPr>
          <xdr:cNvCxnSpPr/>
        </xdr:nvCxnSpPr>
        <xdr:spPr>
          <a:xfrm>
            <a:off x="1543062" y="1498282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7" name="Straight Connector 1516">
            <a:extLst>
              <a:ext uri="{FF2B5EF4-FFF2-40B4-BE49-F238E27FC236}">
                <a16:creationId xmlns:a16="http://schemas.microsoft.com/office/drawing/2014/main" id="{03725E85-44C7-4C79-B3DC-2BC85483D6E3}"/>
              </a:ext>
            </a:extLst>
          </xdr:cNvPr>
          <xdr:cNvCxnSpPr/>
        </xdr:nvCxnSpPr>
        <xdr:spPr>
          <a:xfrm flipH="1">
            <a:off x="1500201" y="150066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8" name="Straight Connector 1517">
            <a:extLst>
              <a:ext uri="{FF2B5EF4-FFF2-40B4-BE49-F238E27FC236}">
                <a16:creationId xmlns:a16="http://schemas.microsoft.com/office/drawing/2014/main" id="{E437D2DE-3455-4A3B-B15A-EF22454B6240}"/>
              </a:ext>
            </a:extLst>
          </xdr:cNvPr>
          <xdr:cNvCxnSpPr/>
        </xdr:nvCxnSpPr>
        <xdr:spPr>
          <a:xfrm>
            <a:off x="2752726" y="14682788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9" name="Straight Connector 1518">
            <a:extLst>
              <a:ext uri="{FF2B5EF4-FFF2-40B4-BE49-F238E27FC236}">
                <a16:creationId xmlns:a16="http://schemas.microsoft.com/office/drawing/2014/main" id="{B3F8C846-29EF-4B62-B371-8834D5547229}"/>
              </a:ext>
            </a:extLst>
          </xdr:cNvPr>
          <xdr:cNvCxnSpPr/>
        </xdr:nvCxnSpPr>
        <xdr:spPr>
          <a:xfrm>
            <a:off x="3957641" y="1498758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0" name="Straight Connector 1519">
            <a:extLst>
              <a:ext uri="{FF2B5EF4-FFF2-40B4-BE49-F238E27FC236}">
                <a16:creationId xmlns:a16="http://schemas.microsoft.com/office/drawing/2014/main" id="{1BE70541-6790-4B5B-BACC-29CD41EBCBE4}"/>
              </a:ext>
            </a:extLst>
          </xdr:cNvPr>
          <xdr:cNvCxnSpPr/>
        </xdr:nvCxnSpPr>
        <xdr:spPr>
          <a:xfrm flipH="1">
            <a:off x="3914779" y="1501139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1" name="Straight Connector 1520">
            <a:extLst>
              <a:ext uri="{FF2B5EF4-FFF2-40B4-BE49-F238E27FC236}">
                <a16:creationId xmlns:a16="http://schemas.microsoft.com/office/drawing/2014/main" id="{6044B308-335B-4109-9867-D37E3B167DFF}"/>
              </a:ext>
            </a:extLst>
          </xdr:cNvPr>
          <xdr:cNvCxnSpPr/>
        </xdr:nvCxnSpPr>
        <xdr:spPr>
          <a:xfrm flipV="1">
            <a:off x="4371975" y="14692312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2" name="Straight Connector 1521">
            <a:extLst>
              <a:ext uri="{FF2B5EF4-FFF2-40B4-BE49-F238E27FC236}">
                <a16:creationId xmlns:a16="http://schemas.microsoft.com/office/drawing/2014/main" id="{F39F010D-0037-4EA9-9D30-AADEE7892531}"/>
              </a:ext>
            </a:extLst>
          </xdr:cNvPr>
          <xdr:cNvCxnSpPr/>
        </xdr:nvCxnSpPr>
        <xdr:spPr>
          <a:xfrm flipH="1">
            <a:off x="4329113" y="150066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3" name="Straight Connector 1522">
            <a:extLst>
              <a:ext uri="{FF2B5EF4-FFF2-40B4-BE49-F238E27FC236}">
                <a16:creationId xmlns:a16="http://schemas.microsoft.com/office/drawing/2014/main" id="{C8B10704-2D8D-4DFB-8EA6-82F76C9CE068}"/>
              </a:ext>
            </a:extLst>
          </xdr:cNvPr>
          <xdr:cNvCxnSpPr/>
        </xdr:nvCxnSpPr>
        <xdr:spPr>
          <a:xfrm>
            <a:off x="1057275" y="1476375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4" name="Straight Connector 1523">
            <a:extLst>
              <a:ext uri="{FF2B5EF4-FFF2-40B4-BE49-F238E27FC236}">
                <a16:creationId xmlns:a16="http://schemas.microsoft.com/office/drawing/2014/main" id="{D8AD0EB9-3FD2-49FD-AF0F-E1E2933F7C56}"/>
              </a:ext>
            </a:extLst>
          </xdr:cNvPr>
          <xdr:cNvCxnSpPr/>
        </xdr:nvCxnSpPr>
        <xdr:spPr>
          <a:xfrm flipH="1">
            <a:off x="1085850" y="147256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5" name="Straight Connector 1524">
            <a:extLst>
              <a:ext uri="{FF2B5EF4-FFF2-40B4-BE49-F238E27FC236}">
                <a16:creationId xmlns:a16="http://schemas.microsoft.com/office/drawing/2014/main" id="{3DC224BC-C77C-446D-8A7F-5B6B32BA39C8}"/>
              </a:ext>
            </a:extLst>
          </xdr:cNvPr>
          <xdr:cNvCxnSpPr/>
        </xdr:nvCxnSpPr>
        <xdr:spPr>
          <a:xfrm flipH="1">
            <a:off x="4324350" y="147208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6" name="Straight Connector 1525">
            <a:extLst>
              <a:ext uri="{FF2B5EF4-FFF2-40B4-BE49-F238E27FC236}">
                <a16:creationId xmlns:a16="http://schemas.microsoft.com/office/drawing/2014/main" id="{09DCCD90-3CB9-4A02-9647-C25CA08AC001}"/>
              </a:ext>
            </a:extLst>
          </xdr:cNvPr>
          <xdr:cNvCxnSpPr/>
        </xdr:nvCxnSpPr>
        <xdr:spPr>
          <a:xfrm flipH="1">
            <a:off x="2705101" y="147208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7" name="Straight Connector 1526">
            <a:extLst>
              <a:ext uri="{FF2B5EF4-FFF2-40B4-BE49-F238E27FC236}">
                <a16:creationId xmlns:a16="http://schemas.microsoft.com/office/drawing/2014/main" id="{EE770ACB-30BF-4B03-9399-75BEA22D5304}"/>
              </a:ext>
            </a:extLst>
          </xdr:cNvPr>
          <xdr:cNvCxnSpPr/>
        </xdr:nvCxnSpPr>
        <xdr:spPr>
          <a:xfrm flipH="1">
            <a:off x="2705101" y="150114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8" name="Straight Connector 1527">
            <a:extLst>
              <a:ext uri="{FF2B5EF4-FFF2-40B4-BE49-F238E27FC236}">
                <a16:creationId xmlns:a16="http://schemas.microsoft.com/office/drawing/2014/main" id="{E6373EC6-C324-4BCE-B7BA-FC1D60AD15A2}"/>
              </a:ext>
            </a:extLst>
          </xdr:cNvPr>
          <xdr:cNvCxnSpPr/>
        </xdr:nvCxnSpPr>
        <xdr:spPr>
          <a:xfrm flipH="1">
            <a:off x="409575" y="1533525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9" name="Straight Connector 1528">
            <a:extLst>
              <a:ext uri="{FF2B5EF4-FFF2-40B4-BE49-F238E27FC236}">
                <a16:creationId xmlns:a16="http://schemas.microsoft.com/office/drawing/2014/main" id="{DA7F721D-80A8-4D4F-98B4-A7B90266CE73}"/>
              </a:ext>
            </a:extLst>
          </xdr:cNvPr>
          <xdr:cNvCxnSpPr/>
        </xdr:nvCxnSpPr>
        <xdr:spPr>
          <a:xfrm>
            <a:off x="809626" y="15268575"/>
            <a:ext cx="0" cy="3857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0" name="Straight Connector 1529">
            <a:extLst>
              <a:ext uri="{FF2B5EF4-FFF2-40B4-BE49-F238E27FC236}">
                <a16:creationId xmlns:a16="http://schemas.microsoft.com/office/drawing/2014/main" id="{2FF8D29F-4C19-419C-A909-5790AB1689C9}"/>
              </a:ext>
            </a:extLst>
          </xdr:cNvPr>
          <xdr:cNvCxnSpPr/>
        </xdr:nvCxnSpPr>
        <xdr:spPr>
          <a:xfrm flipH="1">
            <a:off x="766763" y="1529715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1" name="Straight Connector 1530">
            <a:extLst>
              <a:ext uri="{FF2B5EF4-FFF2-40B4-BE49-F238E27FC236}">
                <a16:creationId xmlns:a16="http://schemas.microsoft.com/office/drawing/2014/main" id="{B9A271A0-267D-416E-9B2B-D9663D3B561F}"/>
              </a:ext>
            </a:extLst>
          </xdr:cNvPr>
          <xdr:cNvCxnSpPr/>
        </xdr:nvCxnSpPr>
        <xdr:spPr>
          <a:xfrm flipH="1">
            <a:off x="723900" y="1576862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2" name="Straight Connector 1531">
            <a:extLst>
              <a:ext uri="{FF2B5EF4-FFF2-40B4-BE49-F238E27FC236}">
                <a16:creationId xmlns:a16="http://schemas.microsoft.com/office/drawing/2014/main" id="{148F1434-2D0C-4CCC-856A-6F8E4872C270}"/>
              </a:ext>
            </a:extLst>
          </xdr:cNvPr>
          <xdr:cNvCxnSpPr/>
        </xdr:nvCxnSpPr>
        <xdr:spPr>
          <a:xfrm flipH="1">
            <a:off x="762000" y="1573052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3" name="Straight Connector 1532">
            <a:extLst>
              <a:ext uri="{FF2B5EF4-FFF2-40B4-BE49-F238E27FC236}">
                <a16:creationId xmlns:a16="http://schemas.microsoft.com/office/drawing/2014/main" id="{CF193E64-7C74-4C33-A1AB-FC6DA9961762}"/>
              </a:ext>
            </a:extLst>
          </xdr:cNvPr>
          <xdr:cNvCxnSpPr/>
        </xdr:nvCxnSpPr>
        <xdr:spPr>
          <a:xfrm flipH="1">
            <a:off x="723900" y="17102140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4" name="Straight Connector 1533">
            <a:extLst>
              <a:ext uri="{FF2B5EF4-FFF2-40B4-BE49-F238E27FC236}">
                <a16:creationId xmlns:a16="http://schemas.microsoft.com/office/drawing/2014/main" id="{6DCCE9FA-EA99-47B3-A182-DB29C7E36771}"/>
              </a:ext>
            </a:extLst>
          </xdr:cNvPr>
          <xdr:cNvCxnSpPr/>
        </xdr:nvCxnSpPr>
        <xdr:spPr>
          <a:xfrm flipH="1">
            <a:off x="762000" y="1706404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5" name="Straight Connector 1534">
            <a:extLst>
              <a:ext uri="{FF2B5EF4-FFF2-40B4-BE49-F238E27FC236}">
                <a16:creationId xmlns:a16="http://schemas.microsoft.com/office/drawing/2014/main" id="{0B5A362D-1F2A-4B42-B462-D8C61D739CAA}"/>
              </a:ext>
            </a:extLst>
          </xdr:cNvPr>
          <xdr:cNvCxnSpPr/>
        </xdr:nvCxnSpPr>
        <xdr:spPr>
          <a:xfrm flipH="1">
            <a:off x="723900" y="1758315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6" name="Straight Connector 1535">
            <a:extLst>
              <a:ext uri="{FF2B5EF4-FFF2-40B4-BE49-F238E27FC236}">
                <a16:creationId xmlns:a16="http://schemas.microsoft.com/office/drawing/2014/main" id="{9A2891A3-86B5-4A86-835D-FD759B6D4642}"/>
              </a:ext>
            </a:extLst>
          </xdr:cNvPr>
          <xdr:cNvCxnSpPr/>
        </xdr:nvCxnSpPr>
        <xdr:spPr>
          <a:xfrm flipH="1">
            <a:off x="762000" y="1754505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7" name="Straight Connector 1536">
            <a:extLst>
              <a:ext uri="{FF2B5EF4-FFF2-40B4-BE49-F238E27FC236}">
                <a16:creationId xmlns:a16="http://schemas.microsoft.com/office/drawing/2014/main" id="{C898CC0B-5C40-4908-BEBE-DE1932A19869}"/>
              </a:ext>
            </a:extLst>
          </xdr:cNvPr>
          <xdr:cNvCxnSpPr/>
        </xdr:nvCxnSpPr>
        <xdr:spPr>
          <a:xfrm flipH="1">
            <a:off x="728663" y="18002253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8" name="Straight Connector 1537">
            <a:extLst>
              <a:ext uri="{FF2B5EF4-FFF2-40B4-BE49-F238E27FC236}">
                <a16:creationId xmlns:a16="http://schemas.microsoft.com/office/drawing/2014/main" id="{F961C422-380C-4795-AEDC-9E79B8E9D1F3}"/>
              </a:ext>
            </a:extLst>
          </xdr:cNvPr>
          <xdr:cNvCxnSpPr/>
        </xdr:nvCxnSpPr>
        <xdr:spPr>
          <a:xfrm flipH="1">
            <a:off x="766763" y="1796415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9" name="Straight Connector 1538">
            <a:extLst>
              <a:ext uri="{FF2B5EF4-FFF2-40B4-BE49-F238E27FC236}">
                <a16:creationId xmlns:a16="http://schemas.microsoft.com/office/drawing/2014/main" id="{FA3EFE7C-19FD-47DA-A304-CA5F429596DC}"/>
              </a:ext>
            </a:extLst>
          </xdr:cNvPr>
          <xdr:cNvCxnSpPr/>
        </xdr:nvCxnSpPr>
        <xdr:spPr>
          <a:xfrm flipH="1">
            <a:off x="728663" y="1838801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0" name="Straight Connector 1539">
            <a:extLst>
              <a:ext uri="{FF2B5EF4-FFF2-40B4-BE49-F238E27FC236}">
                <a16:creationId xmlns:a16="http://schemas.microsoft.com/office/drawing/2014/main" id="{B31BA58F-9D8C-4A5A-B6FC-818BE990F12E}"/>
              </a:ext>
            </a:extLst>
          </xdr:cNvPr>
          <xdr:cNvCxnSpPr/>
        </xdr:nvCxnSpPr>
        <xdr:spPr>
          <a:xfrm flipH="1">
            <a:off x="766763" y="1834992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1" name="Straight Connector 1540">
            <a:extLst>
              <a:ext uri="{FF2B5EF4-FFF2-40B4-BE49-F238E27FC236}">
                <a16:creationId xmlns:a16="http://schemas.microsoft.com/office/drawing/2014/main" id="{B0018CE9-CE6F-4019-A014-3B53509FB7A9}"/>
              </a:ext>
            </a:extLst>
          </xdr:cNvPr>
          <xdr:cNvCxnSpPr/>
        </xdr:nvCxnSpPr>
        <xdr:spPr>
          <a:xfrm flipH="1">
            <a:off x="395288" y="19049995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2" name="Straight Connector 1541">
            <a:extLst>
              <a:ext uri="{FF2B5EF4-FFF2-40B4-BE49-F238E27FC236}">
                <a16:creationId xmlns:a16="http://schemas.microsoft.com/office/drawing/2014/main" id="{E5CD0AFB-7AF0-4BE2-87BE-4F7C24563155}"/>
              </a:ext>
            </a:extLst>
          </xdr:cNvPr>
          <xdr:cNvCxnSpPr/>
        </xdr:nvCxnSpPr>
        <xdr:spPr>
          <a:xfrm flipH="1">
            <a:off x="766764" y="1901189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3" name="Straight Connector 1542">
            <a:extLst>
              <a:ext uri="{FF2B5EF4-FFF2-40B4-BE49-F238E27FC236}">
                <a16:creationId xmlns:a16="http://schemas.microsoft.com/office/drawing/2014/main" id="{83560571-3F55-478E-8EAB-490E855C0BF9}"/>
              </a:ext>
            </a:extLst>
          </xdr:cNvPr>
          <xdr:cNvCxnSpPr/>
        </xdr:nvCxnSpPr>
        <xdr:spPr>
          <a:xfrm>
            <a:off x="485776" y="15263813"/>
            <a:ext cx="0" cy="3871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4" name="Straight Connector 1543">
            <a:extLst>
              <a:ext uri="{FF2B5EF4-FFF2-40B4-BE49-F238E27FC236}">
                <a16:creationId xmlns:a16="http://schemas.microsoft.com/office/drawing/2014/main" id="{091A8840-F85B-41BE-A381-1FBA47755FEE}"/>
              </a:ext>
            </a:extLst>
          </xdr:cNvPr>
          <xdr:cNvCxnSpPr/>
        </xdr:nvCxnSpPr>
        <xdr:spPr>
          <a:xfrm flipH="1">
            <a:off x="442913" y="1529238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5" name="Straight Connector 1544">
            <a:extLst>
              <a:ext uri="{FF2B5EF4-FFF2-40B4-BE49-F238E27FC236}">
                <a16:creationId xmlns:a16="http://schemas.microsoft.com/office/drawing/2014/main" id="{625BFD4C-DEC7-4980-96E4-A003D5E7D5A1}"/>
              </a:ext>
            </a:extLst>
          </xdr:cNvPr>
          <xdr:cNvCxnSpPr/>
        </xdr:nvCxnSpPr>
        <xdr:spPr>
          <a:xfrm flipH="1">
            <a:off x="442914" y="1900713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6" name="Straight Connector 1545">
            <a:extLst>
              <a:ext uri="{FF2B5EF4-FFF2-40B4-BE49-F238E27FC236}">
                <a16:creationId xmlns:a16="http://schemas.microsoft.com/office/drawing/2014/main" id="{529E4263-0F86-40A3-986E-2658B164ED5F}"/>
              </a:ext>
            </a:extLst>
          </xdr:cNvPr>
          <xdr:cNvCxnSpPr/>
        </xdr:nvCxnSpPr>
        <xdr:spPr>
          <a:xfrm flipH="1">
            <a:off x="723900" y="16511586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7" name="Straight Connector 1546">
            <a:extLst>
              <a:ext uri="{FF2B5EF4-FFF2-40B4-BE49-F238E27FC236}">
                <a16:creationId xmlns:a16="http://schemas.microsoft.com/office/drawing/2014/main" id="{0F069D0C-53FF-4190-AF79-F14F815FB601}"/>
              </a:ext>
            </a:extLst>
          </xdr:cNvPr>
          <xdr:cNvCxnSpPr/>
        </xdr:nvCxnSpPr>
        <xdr:spPr>
          <a:xfrm flipH="1">
            <a:off x="762000" y="164734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8" name="Straight Connector 1547">
            <a:extLst>
              <a:ext uri="{FF2B5EF4-FFF2-40B4-BE49-F238E27FC236}">
                <a16:creationId xmlns:a16="http://schemas.microsoft.com/office/drawing/2014/main" id="{62ADBB6D-885A-4D5E-A59C-14AF92E55354}"/>
              </a:ext>
            </a:extLst>
          </xdr:cNvPr>
          <xdr:cNvCxnSpPr/>
        </xdr:nvCxnSpPr>
        <xdr:spPr>
          <a:xfrm>
            <a:off x="4695825" y="15259050"/>
            <a:ext cx="0" cy="387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9" name="Straight Connector 1548">
            <a:extLst>
              <a:ext uri="{FF2B5EF4-FFF2-40B4-BE49-F238E27FC236}">
                <a16:creationId xmlns:a16="http://schemas.microsoft.com/office/drawing/2014/main" id="{2807F5EA-75F2-4028-A66C-CE1787108144}"/>
              </a:ext>
            </a:extLst>
          </xdr:cNvPr>
          <xdr:cNvCxnSpPr/>
        </xdr:nvCxnSpPr>
        <xdr:spPr>
          <a:xfrm>
            <a:off x="4414838" y="19049993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0" name="Straight Connector 1549">
            <a:extLst>
              <a:ext uri="{FF2B5EF4-FFF2-40B4-BE49-F238E27FC236}">
                <a16:creationId xmlns:a16="http://schemas.microsoft.com/office/drawing/2014/main" id="{A6561869-3545-4A91-AE32-F3B6CBBE966E}"/>
              </a:ext>
            </a:extLst>
          </xdr:cNvPr>
          <xdr:cNvCxnSpPr/>
        </xdr:nvCxnSpPr>
        <xdr:spPr>
          <a:xfrm>
            <a:off x="4410075" y="1533525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1" name="Straight Connector 1550">
            <a:extLst>
              <a:ext uri="{FF2B5EF4-FFF2-40B4-BE49-F238E27FC236}">
                <a16:creationId xmlns:a16="http://schemas.microsoft.com/office/drawing/2014/main" id="{104792B5-7A00-4C90-A8AA-8D50540E2754}"/>
              </a:ext>
            </a:extLst>
          </xdr:cNvPr>
          <xdr:cNvCxnSpPr/>
        </xdr:nvCxnSpPr>
        <xdr:spPr>
          <a:xfrm flipH="1">
            <a:off x="4648200" y="1529715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2" name="Straight Connector 1551">
            <a:extLst>
              <a:ext uri="{FF2B5EF4-FFF2-40B4-BE49-F238E27FC236}">
                <a16:creationId xmlns:a16="http://schemas.microsoft.com/office/drawing/2014/main" id="{102D24F3-0BB2-4C95-B282-9A8A90025F43}"/>
              </a:ext>
            </a:extLst>
          </xdr:cNvPr>
          <xdr:cNvCxnSpPr/>
        </xdr:nvCxnSpPr>
        <xdr:spPr>
          <a:xfrm flipH="1">
            <a:off x="4648201" y="19007130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3" name="Straight Connector 1552">
            <a:extLst>
              <a:ext uri="{FF2B5EF4-FFF2-40B4-BE49-F238E27FC236}">
                <a16:creationId xmlns:a16="http://schemas.microsoft.com/office/drawing/2014/main" id="{273C15C8-367F-46B1-961C-1424A1466508}"/>
              </a:ext>
            </a:extLst>
          </xdr:cNvPr>
          <xdr:cNvCxnSpPr/>
        </xdr:nvCxnSpPr>
        <xdr:spPr>
          <a:xfrm>
            <a:off x="3629025" y="16906875"/>
            <a:ext cx="1138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4" name="Straight Connector 1553">
            <a:extLst>
              <a:ext uri="{FF2B5EF4-FFF2-40B4-BE49-F238E27FC236}">
                <a16:creationId xmlns:a16="http://schemas.microsoft.com/office/drawing/2014/main" id="{3A43A439-478E-467D-A038-34754F59DC13}"/>
              </a:ext>
            </a:extLst>
          </xdr:cNvPr>
          <xdr:cNvCxnSpPr/>
        </xdr:nvCxnSpPr>
        <xdr:spPr>
          <a:xfrm flipH="1">
            <a:off x="4652964" y="168640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5" name="Straight Connector 1554">
            <a:extLst>
              <a:ext uri="{FF2B5EF4-FFF2-40B4-BE49-F238E27FC236}">
                <a16:creationId xmlns:a16="http://schemas.microsoft.com/office/drawing/2014/main" id="{8C197A82-08BB-4AB2-8B76-3A0377C6BD33}"/>
              </a:ext>
            </a:extLst>
          </xdr:cNvPr>
          <xdr:cNvCxnSpPr/>
        </xdr:nvCxnSpPr>
        <xdr:spPr>
          <a:xfrm>
            <a:off x="3238500" y="16697325"/>
            <a:ext cx="0" cy="2428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6" name="Straight Connector 1555">
            <a:extLst>
              <a:ext uri="{FF2B5EF4-FFF2-40B4-BE49-F238E27FC236}">
                <a16:creationId xmlns:a16="http://schemas.microsoft.com/office/drawing/2014/main" id="{022DC084-40AD-4CDB-B69F-F65F5BDE9459}"/>
              </a:ext>
            </a:extLst>
          </xdr:cNvPr>
          <xdr:cNvCxnSpPr/>
        </xdr:nvCxnSpPr>
        <xdr:spPr>
          <a:xfrm>
            <a:off x="1147763" y="17587913"/>
            <a:ext cx="1604962" cy="4202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7" name="Straight Connector 1556">
            <a:extLst>
              <a:ext uri="{FF2B5EF4-FFF2-40B4-BE49-F238E27FC236}">
                <a16:creationId xmlns:a16="http://schemas.microsoft.com/office/drawing/2014/main" id="{6D58A6B4-5ACF-4A13-8627-9F3EAB8F3213}"/>
              </a:ext>
            </a:extLst>
          </xdr:cNvPr>
          <xdr:cNvCxnSpPr/>
        </xdr:nvCxnSpPr>
        <xdr:spPr>
          <a:xfrm flipH="1">
            <a:off x="3186112" y="1671637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8" name="Straight Connector 1557">
            <a:extLst>
              <a:ext uri="{FF2B5EF4-FFF2-40B4-BE49-F238E27FC236}">
                <a16:creationId xmlns:a16="http://schemas.microsoft.com/office/drawing/2014/main" id="{3E5EADF6-42B7-41C9-9C03-6C19BA94445E}"/>
              </a:ext>
            </a:extLst>
          </xdr:cNvPr>
          <xdr:cNvCxnSpPr/>
        </xdr:nvCxnSpPr>
        <xdr:spPr>
          <a:xfrm flipH="1">
            <a:off x="2581275" y="16473488"/>
            <a:ext cx="2428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9" name="Straight Connector 1558">
            <a:extLst>
              <a:ext uri="{FF2B5EF4-FFF2-40B4-BE49-F238E27FC236}">
                <a16:creationId xmlns:a16="http://schemas.microsoft.com/office/drawing/2014/main" id="{8A25C25E-DB98-445D-A9FB-4A2B35BABDAA}"/>
              </a:ext>
            </a:extLst>
          </xdr:cNvPr>
          <xdr:cNvCxnSpPr/>
        </xdr:nvCxnSpPr>
        <xdr:spPr>
          <a:xfrm>
            <a:off x="2647955" y="16378234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0" name="Straight Connector 1559">
            <a:extLst>
              <a:ext uri="{FF2B5EF4-FFF2-40B4-BE49-F238E27FC236}">
                <a16:creationId xmlns:a16="http://schemas.microsoft.com/office/drawing/2014/main" id="{5628CF21-69C9-4E57-98AF-F3BA7A89BA9F}"/>
              </a:ext>
            </a:extLst>
          </xdr:cNvPr>
          <xdr:cNvCxnSpPr/>
        </xdr:nvCxnSpPr>
        <xdr:spPr>
          <a:xfrm flipH="1">
            <a:off x="2595568" y="16430622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1" name="Straight Connector 1560">
            <a:extLst>
              <a:ext uri="{FF2B5EF4-FFF2-40B4-BE49-F238E27FC236}">
                <a16:creationId xmlns:a16="http://schemas.microsoft.com/office/drawing/2014/main" id="{D99108F8-F6AF-4157-9F47-4716F841FD0E}"/>
              </a:ext>
            </a:extLst>
          </xdr:cNvPr>
          <xdr:cNvCxnSpPr/>
        </xdr:nvCxnSpPr>
        <xdr:spPr>
          <a:xfrm flipH="1">
            <a:off x="2700338" y="16430625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2" name="Straight Connector 1561">
            <a:extLst>
              <a:ext uri="{FF2B5EF4-FFF2-40B4-BE49-F238E27FC236}">
                <a16:creationId xmlns:a16="http://schemas.microsoft.com/office/drawing/2014/main" id="{C27616DF-63E8-4B20-9254-B58D60326D90}"/>
              </a:ext>
            </a:extLst>
          </xdr:cNvPr>
          <xdr:cNvCxnSpPr/>
        </xdr:nvCxnSpPr>
        <xdr:spPr>
          <a:xfrm flipV="1">
            <a:off x="1857375" y="16906875"/>
            <a:ext cx="0" cy="2205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3" name="Straight Connector 1562">
            <a:extLst>
              <a:ext uri="{FF2B5EF4-FFF2-40B4-BE49-F238E27FC236}">
                <a16:creationId xmlns:a16="http://schemas.microsoft.com/office/drawing/2014/main" id="{33F4033F-D0A2-4BF6-A576-3DC4C1A0B761}"/>
              </a:ext>
            </a:extLst>
          </xdr:cNvPr>
          <xdr:cNvCxnSpPr/>
        </xdr:nvCxnSpPr>
        <xdr:spPr>
          <a:xfrm flipV="1">
            <a:off x="3648075" y="16897351"/>
            <a:ext cx="0" cy="2152649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64" name="Arc 1563">
            <a:extLst>
              <a:ext uri="{FF2B5EF4-FFF2-40B4-BE49-F238E27FC236}">
                <a16:creationId xmlns:a16="http://schemas.microsoft.com/office/drawing/2014/main" id="{98A91566-976A-4C6A-B382-9BDE303718DE}"/>
              </a:ext>
            </a:extLst>
          </xdr:cNvPr>
          <xdr:cNvSpPr/>
        </xdr:nvSpPr>
        <xdr:spPr>
          <a:xfrm rot="16200000">
            <a:off x="1857375" y="16030575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65" name="Straight Connector 1564">
            <a:extLst>
              <a:ext uri="{FF2B5EF4-FFF2-40B4-BE49-F238E27FC236}">
                <a16:creationId xmlns:a16="http://schemas.microsoft.com/office/drawing/2014/main" id="{5286E813-A6F2-43C0-A881-932D56CCF926}"/>
              </a:ext>
            </a:extLst>
          </xdr:cNvPr>
          <xdr:cNvCxnSpPr/>
        </xdr:nvCxnSpPr>
        <xdr:spPr>
          <a:xfrm>
            <a:off x="1057275" y="19621500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6" name="Straight Connector 1565">
            <a:extLst>
              <a:ext uri="{FF2B5EF4-FFF2-40B4-BE49-F238E27FC236}">
                <a16:creationId xmlns:a16="http://schemas.microsoft.com/office/drawing/2014/main" id="{6BFAFD99-C887-4BD9-BE92-702F342B5FBB}"/>
              </a:ext>
            </a:extLst>
          </xdr:cNvPr>
          <xdr:cNvCxnSpPr/>
        </xdr:nvCxnSpPr>
        <xdr:spPr>
          <a:xfrm flipH="1">
            <a:off x="1814513" y="1957863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7" name="Straight Connector 1566">
            <a:extLst>
              <a:ext uri="{FF2B5EF4-FFF2-40B4-BE49-F238E27FC236}">
                <a16:creationId xmlns:a16="http://schemas.microsoft.com/office/drawing/2014/main" id="{916F976F-8EF7-4A67-ACD6-E3E5E4EF9010}"/>
              </a:ext>
            </a:extLst>
          </xdr:cNvPr>
          <xdr:cNvCxnSpPr/>
        </xdr:nvCxnSpPr>
        <xdr:spPr>
          <a:xfrm flipH="1">
            <a:off x="4329114" y="192976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8" name="Straight Connector 1567">
            <a:extLst>
              <a:ext uri="{FF2B5EF4-FFF2-40B4-BE49-F238E27FC236}">
                <a16:creationId xmlns:a16="http://schemas.microsoft.com/office/drawing/2014/main" id="{61E07597-4A54-426B-8105-39D3AB695065}"/>
              </a:ext>
            </a:extLst>
          </xdr:cNvPr>
          <xdr:cNvCxnSpPr/>
        </xdr:nvCxnSpPr>
        <xdr:spPr>
          <a:xfrm>
            <a:off x="2181237" y="14978063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9" name="Straight Connector 1568">
            <a:extLst>
              <a:ext uri="{FF2B5EF4-FFF2-40B4-BE49-F238E27FC236}">
                <a16:creationId xmlns:a16="http://schemas.microsoft.com/office/drawing/2014/main" id="{F79742E2-18E3-46AB-854A-E1E79FF85C57}"/>
              </a:ext>
            </a:extLst>
          </xdr:cNvPr>
          <xdr:cNvCxnSpPr/>
        </xdr:nvCxnSpPr>
        <xdr:spPr>
          <a:xfrm flipH="1">
            <a:off x="2138376" y="150018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0" name="Straight Connector 1569">
            <a:extLst>
              <a:ext uri="{FF2B5EF4-FFF2-40B4-BE49-F238E27FC236}">
                <a16:creationId xmlns:a16="http://schemas.microsoft.com/office/drawing/2014/main" id="{FF0053B7-738E-4DB7-B8AD-6300EF6A1CD7}"/>
              </a:ext>
            </a:extLst>
          </xdr:cNvPr>
          <xdr:cNvCxnSpPr/>
        </xdr:nvCxnSpPr>
        <xdr:spPr>
          <a:xfrm>
            <a:off x="3319474" y="1498758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1" name="Straight Connector 1570">
            <a:extLst>
              <a:ext uri="{FF2B5EF4-FFF2-40B4-BE49-F238E27FC236}">
                <a16:creationId xmlns:a16="http://schemas.microsoft.com/office/drawing/2014/main" id="{67ED39AE-46AC-4A68-8AF9-790607AB2E58}"/>
              </a:ext>
            </a:extLst>
          </xdr:cNvPr>
          <xdr:cNvCxnSpPr/>
        </xdr:nvCxnSpPr>
        <xdr:spPr>
          <a:xfrm flipH="1">
            <a:off x="3271850" y="1501139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2" name="Straight Connector 1571">
            <a:extLst>
              <a:ext uri="{FF2B5EF4-FFF2-40B4-BE49-F238E27FC236}">
                <a16:creationId xmlns:a16="http://schemas.microsoft.com/office/drawing/2014/main" id="{118A6B5B-3922-4D9F-A062-8D9A87D1F893}"/>
              </a:ext>
            </a:extLst>
          </xdr:cNvPr>
          <xdr:cNvCxnSpPr/>
        </xdr:nvCxnSpPr>
        <xdr:spPr>
          <a:xfrm>
            <a:off x="1066799" y="20192999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3" name="Straight Connector 1572">
            <a:extLst>
              <a:ext uri="{FF2B5EF4-FFF2-40B4-BE49-F238E27FC236}">
                <a16:creationId xmlns:a16="http://schemas.microsoft.com/office/drawing/2014/main" id="{00FD67E2-D2CF-4FE0-96AA-B9B015472C32}"/>
              </a:ext>
            </a:extLst>
          </xdr:cNvPr>
          <xdr:cNvCxnSpPr/>
        </xdr:nvCxnSpPr>
        <xdr:spPr>
          <a:xfrm flipH="1">
            <a:off x="1090613" y="201548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4" name="Straight Connector 1573">
            <a:extLst>
              <a:ext uri="{FF2B5EF4-FFF2-40B4-BE49-F238E27FC236}">
                <a16:creationId xmlns:a16="http://schemas.microsoft.com/office/drawing/2014/main" id="{1AB693FB-E8D2-47B7-A56B-7E3407E8FF64}"/>
              </a:ext>
            </a:extLst>
          </xdr:cNvPr>
          <xdr:cNvCxnSpPr/>
        </xdr:nvCxnSpPr>
        <xdr:spPr>
          <a:xfrm flipH="1">
            <a:off x="4329113" y="201548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5" name="Straight Connector 1574">
            <a:extLst>
              <a:ext uri="{FF2B5EF4-FFF2-40B4-BE49-F238E27FC236}">
                <a16:creationId xmlns:a16="http://schemas.microsoft.com/office/drawing/2014/main" id="{4DB748EE-CCCE-445A-BCE8-A686D9C67A5F}"/>
              </a:ext>
            </a:extLst>
          </xdr:cNvPr>
          <xdr:cNvCxnSpPr/>
        </xdr:nvCxnSpPr>
        <xdr:spPr>
          <a:xfrm flipH="1">
            <a:off x="1090612" y="1958339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6" name="Straight Connector 1575">
            <a:extLst>
              <a:ext uri="{FF2B5EF4-FFF2-40B4-BE49-F238E27FC236}">
                <a16:creationId xmlns:a16="http://schemas.microsoft.com/office/drawing/2014/main" id="{FBD7FAB1-7ADB-4D74-99A9-92638DB1DDE5}"/>
              </a:ext>
            </a:extLst>
          </xdr:cNvPr>
          <xdr:cNvCxnSpPr/>
        </xdr:nvCxnSpPr>
        <xdr:spPr>
          <a:xfrm flipH="1">
            <a:off x="4329112" y="1958339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7" name="Straight Connector 1576">
            <a:extLst>
              <a:ext uri="{FF2B5EF4-FFF2-40B4-BE49-F238E27FC236}">
                <a16:creationId xmlns:a16="http://schemas.microsoft.com/office/drawing/2014/main" id="{F04DB959-3924-4FC2-9273-DBDF33C54030}"/>
              </a:ext>
            </a:extLst>
          </xdr:cNvPr>
          <xdr:cNvCxnSpPr/>
        </xdr:nvCxnSpPr>
        <xdr:spPr>
          <a:xfrm flipH="1">
            <a:off x="2709862" y="1958340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8" name="Straight Connector 1577">
            <a:extLst>
              <a:ext uri="{FF2B5EF4-FFF2-40B4-BE49-F238E27FC236}">
                <a16:creationId xmlns:a16="http://schemas.microsoft.com/office/drawing/2014/main" id="{2C886F61-BA5F-45D9-95D4-3C8766DBDAD4}"/>
              </a:ext>
            </a:extLst>
          </xdr:cNvPr>
          <xdr:cNvCxnSpPr/>
        </xdr:nvCxnSpPr>
        <xdr:spPr>
          <a:xfrm>
            <a:off x="2762250" y="1710690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9" name="Straight Connector 1578">
            <a:extLst>
              <a:ext uri="{FF2B5EF4-FFF2-40B4-BE49-F238E27FC236}">
                <a16:creationId xmlns:a16="http://schemas.microsoft.com/office/drawing/2014/main" id="{ACFA96A8-B471-431D-921E-D4373BA27B60}"/>
              </a:ext>
            </a:extLst>
          </xdr:cNvPr>
          <xdr:cNvCxnSpPr/>
        </xdr:nvCxnSpPr>
        <xdr:spPr>
          <a:xfrm>
            <a:off x="2938462" y="16764000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80" name="Oval 1579">
            <a:extLst>
              <a:ext uri="{FF2B5EF4-FFF2-40B4-BE49-F238E27FC236}">
                <a16:creationId xmlns:a16="http://schemas.microsoft.com/office/drawing/2014/main" id="{10689C22-429A-441A-B4BF-1CDB187FC753}"/>
              </a:ext>
            </a:extLst>
          </xdr:cNvPr>
          <xdr:cNvSpPr/>
        </xdr:nvSpPr>
        <xdr:spPr>
          <a:xfrm>
            <a:off x="2729866" y="1687925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81" name="Straight Connector 1580">
            <a:extLst>
              <a:ext uri="{FF2B5EF4-FFF2-40B4-BE49-F238E27FC236}">
                <a16:creationId xmlns:a16="http://schemas.microsoft.com/office/drawing/2014/main" id="{30D5F02A-A797-4526-B97C-503F6616F6CF}"/>
              </a:ext>
            </a:extLst>
          </xdr:cNvPr>
          <xdr:cNvCxnSpPr/>
        </xdr:nvCxnSpPr>
        <xdr:spPr>
          <a:xfrm>
            <a:off x="2195513" y="16906875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2" name="Straight Connector 1581">
            <a:extLst>
              <a:ext uri="{FF2B5EF4-FFF2-40B4-BE49-F238E27FC236}">
                <a16:creationId xmlns:a16="http://schemas.microsoft.com/office/drawing/2014/main" id="{F9544957-B788-4C08-B5E5-6F5E488E8A01}"/>
              </a:ext>
            </a:extLst>
          </xdr:cNvPr>
          <xdr:cNvCxnSpPr/>
        </xdr:nvCxnSpPr>
        <xdr:spPr>
          <a:xfrm flipV="1">
            <a:off x="2266950" y="16706850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3" name="Straight Connector 1582">
            <a:extLst>
              <a:ext uri="{FF2B5EF4-FFF2-40B4-BE49-F238E27FC236}">
                <a16:creationId xmlns:a16="http://schemas.microsoft.com/office/drawing/2014/main" id="{2E7F9F50-1139-46DA-A85B-DD13BD65FBAA}"/>
              </a:ext>
            </a:extLst>
          </xdr:cNvPr>
          <xdr:cNvCxnSpPr/>
        </xdr:nvCxnSpPr>
        <xdr:spPr>
          <a:xfrm flipH="1">
            <a:off x="2190750" y="16764000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4" name="Straight Connector 1583">
            <a:extLst>
              <a:ext uri="{FF2B5EF4-FFF2-40B4-BE49-F238E27FC236}">
                <a16:creationId xmlns:a16="http://schemas.microsoft.com/office/drawing/2014/main" id="{4A862A24-3252-41F0-948A-B7B2A706123A}"/>
              </a:ext>
            </a:extLst>
          </xdr:cNvPr>
          <xdr:cNvCxnSpPr/>
        </xdr:nvCxnSpPr>
        <xdr:spPr>
          <a:xfrm flipH="1">
            <a:off x="2224088" y="16730663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5" name="Straight Connector 1584">
            <a:extLst>
              <a:ext uri="{FF2B5EF4-FFF2-40B4-BE49-F238E27FC236}">
                <a16:creationId xmlns:a16="http://schemas.microsoft.com/office/drawing/2014/main" id="{1DA013A0-57C8-48ED-B761-C2A53FF831A9}"/>
              </a:ext>
            </a:extLst>
          </xdr:cNvPr>
          <xdr:cNvCxnSpPr/>
        </xdr:nvCxnSpPr>
        <xdr:spPr>
          <a:xfrm flipH="1">
            <a:off x="2228850" y="16868775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6" name="Straight Connector 1585">
            <a:extLst>
              <a:ext uri="{FF2B5EF4-FFF2-40B4-BE49-F238E27FC236}">
                <a16:creationId xmlns:a16="http://schemas.microsoft.com/office/drawing/2014/main" id="{A45867E0-BF1A-4CAB-B7CB-40D68610C2E3}"/>
              </a:ext>
            </a:extLst>
          </xdr:cNvPr>
          <xdr:cNvCxnSpPr/>
        </xdr:nvCxnSpPr>
        <xdr:spPr>
          <a:xfrm flipH="1">
            <a:off x="3190874" y="170640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7" name="Straight Connector 1586">
            <a:extLst>
              <a:ext uri="{FF2B5EF4-FFF2-40B4-BE49-F238E27FC236}">
                <a16:creationId xmlns:a16="http://schemas.microsoft.com/office/drawing/2014/main" id="{6178E34D-A16B-4274-A883-D24E0F28DBBA}"/>
              </a:ext>
            </a:extLst>
          </xdr:cNvPr>
          <xdr:cNvCxnSpPr/>
        </xdr:nvCxnSpPr>
        <xdr:spPr>
          <a:xfrm>
            <a:off x="2767012" y="173259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8" name="Straight Connector 1587">
            <a:extLst>
              <a:ext uri="{FF2B5EF4-FFF2-40B4-BE49-F238E27FC236}">
                <a16:creationId xmlns:a16="http://schemas.microsoft.com/office/drawing/2014/main" id="{2964ABE2-B8AB-404F-BD76-92C46FE5586C}"/>
              </a:ext>
            </a:extLst>
          </xdr:cNvPr>
          <xdr:cNvCxnSpPr/>
        </xdr:nvCxnSpPr>
        <xdr:spPr>
          <a:xfrm flipH="1">
            <a:off x="3195636" y="172831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9" name="Straight Connector 1588">
            <a:extLst>
              <a:ext uri="{FF2B5EF4-FFF2-40B4-BE49-F238E27FC236}">
                <a16:creationId xmlns:a16="http://schemas.microsoft.com/office/drawing/2014/main" id="{E9DD0C50-91EE-40D8-A955-CBA86736BD4C}"/>
              </a:ext>
            </a:extLst>
          </xdr:cNvPr>
          <xdr:cNvCxnSpPr/>
        </xdr:nvCxnSpPr>
        <xdr:spPr>
          <a:xfrm>
            <a:off x="2762249" y="1763553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0" name="Straight Connector 1589">
            <a:extLst>
              <a:ext uri="{FF2B5EF4-FFF2-40B4-BE49-F238E27FC236}">
                <a16:creationId xmlns:a16="http://schemas.microsoft.com/office/drawing/2014/main" id="{9123BAAB-FE8F-4AB7-87EA-045722983CA8}"/>
              </a:ext>
            </a:extLst>
          </xdr:cNvPr>
          <xdr:cNvCxnSpPr/>
        </xdr:nvCxnSpPr>
        <xdr:spPr>
          <a:xfrm flipH="1">
            <a:off x="3190873" y="175926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1" name="Straight Connector 1590">
            <a:extLst>
              <a:ext uri="{FF2B5EF4-FFF2-40B4-BE49-F238E27FC236}">
                <a16:creationId xmlns:a16="http://schemas.microsoft.com/office/drawing/2014/main" id="{47DDF771-07D4-4960-8139-7A349CCEEE16}"/>
              </a:ext>
            </a:extLst>
          </xdr:cNvPr>
          <xdr:cNvCxnSpPr/>
        </xdr:nvCxnSpPr>
        <xdr:spPr>
          <a:xfrm>
            <a:off x="2762248" y="1801653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2" name="Straight Connector 1591">
            <a:extLst>
              <a:ext uri="{FF2B5EF4-FFF2-40B4-BE49-F238E27FC236}">
                <a16:creationId xmlns:a16="http://schemas.microsoft.com/office/drawing/2014/main" id="{8DD43D2C-F7E0-4873-A533-A3B9E5093659}"/>
              </a:ext>
            </a:extLst>
          </xdr:cNvPr>
          <xdr:cNvCxnSpPr/>
        </xdr:nvCxnSpPr>
        <xdr:spPr>
          <a:xfrm flipH="1">
            <a:off x="3190872" y="179736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3" name="Straight Connector 1592">
            <a:extLst>
              <a:ext uri="{FF2B5EF4-FFF2-40B4-BE49-F238E27FC236}">
                <a16:creationId xmlns:a16="http://schemas.microsoft.com/office/drawing/2014/main" id="{BA915380-62DA-4841-B167-F3E96977A841}"/>
              </a:ext>
            </a:extLst>
          </xdr:cNvPr>
          <xdr:cNvCxnSpPr/>
        </xdr:nvCxnSpPr>
        <xdr:spPr>
          <a:xfrm>
            <a:off x="2767010" y="1823084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4" name="Straight Connector 1593">
            <a:extLst>
              <a:ext uri="{FF2B5EF4-FFF2-40B4-BE49-F238E27FC236}">
                <a16:creationId xmlns:a16="http://schemas.microsoft.com/office/drawing/2014/main" id="{1B20A5CD-BF1B-40B2-A99A-BF5FB21348E6}"/>
              </a:ext>
            </a:extLst>
          </xdr:cNvPr>
          <xdr:cNvCxnSpPr/>
        </xdr:nvCxnSpPr>
        <xdr:spPr>
          <a:xfrm flipH="1">
            <a:off x="3195634" y="1818798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5" name="Straight Connector 1594">
            <a:extLst>
              <a:ext uri="{FF2B5EF4-FFF2-40B4-BE49-F238E27FC236}">
                <a16:creationId xmlns:a16="http://schemas.microsoft.com/office/drawing/2014/main" id="{F38A7AE8-64BE-4294-BCE6-DBCB44561CCA}"/>
              </a:ext>
            </a:extLst>
          </xdr:cNvPr>
          <xdr:cNvCxnSpPr/>
        </xdr:nvCxnSpPr>
        <xdr:spPr>
          <a:xfrm>
            <a:off x="2757485" y="184832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6" name="Straight Connector 1595">
            <a:extLst>
              <a:ext uri="{FF2B5EF4-FFF2-40B4-BE49-F238E27FC236}">
                <a16:creationId xmlns:a16="http://schemas.microsoft.com/office/drawing/2014/main" id="{4976E017-8424-4A65-87A3-B0B98DA8EE70}"/>
              </a:ext>
            </a:extLst>
          </xdr:cNvPr>
          <xdr:cNvCxnSpPr/>
        </xdr:nvCxnSpPr>
        <xdr:spPr>
          <a:xfrm flipH="1">
            <a:off x="3186109" y="184404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7" name="Straight Connector 1596">
            <a:extLst>
              <a:ext uri="{FF2B5EF4-FFF2-40B4-BE49-F238E27FC236}">
                <a16:creationId xmlns:a16="http://schemas.microsoft.com/office/drawing/2014/main" id="{126B74AB-AA2A-4ADB-A25F-1E4AD491D7AE}"/>
              </a:ext>
            </a:extLst>
          </xdr:cNvPr>
          <xdr:cNvCxnSpPr/>
        </xdr:nvCxnSpPr>
        <xdr:spPr>
          <a:xfrm>
            <a:off x="2762248" y="177688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8" name="Straight Connector 1597">
            <a:extLst>
              <a:ext uri="{FF2B5EF4-FFF2-40B4-BE49-F238E27FC236}">
                <a16:creationId xmlns:a16="http://schemas.microsoft.com/office/drawing/2014/main" id="{18A00CBC-568F-41C5-BF62-A632A331A70E}"/>
              </a:ext>
            </a:extLst>
          </xdr:cNvPr>
          <xdr:cNvCxnSpPr/>
        </xdr:nvCxnSpPr>
        <xdr:spPr>
          <a:xfrm flipH="1">
            <a:off x="3190872" y="177260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9" name="Straight Connector 1598">
            <a:extLst>
              <a:ext uri="{FF2B5EF4-FFF2-40B4-BE49-F238E27FC236}">
                <a16:creationId xmlns:a16="http://schemas.microsoft.com/office/drawing/2014/main" id="{A120AEF4-9143-4324-9E35-DC9100F6B76F}"/>
              </a:ext>
            </a:extLst>
          </xdr:cNvPr>
          <xdr:cNvCxnSpPr/>
        </xdr:nvCxnSpPr>
        <xdr:spPr>
          <a:xfrm>
            <a:off x="2762248" y="174783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0" name="Straight Connector 1599">
            <a:extLst>
              <a:ext uri="{FF2B5EF4-FFF2-40B4-BE49-F238E27FC236}">
                <a16:creationId xmlns:a16="http://schemas.microsoft.com/office/drawing/2014/main" id="{45179A44-28B2-4198-8B63-C24D846E3235}"/>
              </a:ext>
            </a:extLst>
          </xdr:cNvPr>
          <xdr:cNvCxnSpPr/>
        </xdr:nvCxnSpPr>
        <xdr:spPr>
          <a:xfrm flipH="1">
            <a:off x="3190872" y="174355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01" name="Oval 1600">
            <a:extLst>
              <a:ext uri="{FF2B5EF4-FFF2-40B4-BE49-F238E27FC236}">
                <a16:creationId xmlns:a16="http://schemas.microsoft.com/office/drawing/2014/main" id="{DEC1C0CE-BB4B-4143-A63F-5AAC38785595}"/>
              </a:ext>
            </a:extLst>
          </xdr:cNvPr>
          <xdr:cNvSpPr/>
        </xdr:nvSpPr>
        <xdr:spPr>
          <a:xfrm>
            <a:off x="1833563" y="16878300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02" name="Oval 1601">
            <a:extLst>
              <a:ext uri="{FF2B5EF4-FFF2-40B4-BE49-F238E27FC236}">
                <a16:creationId xmlns:a16="http://schemas.microsoft.com/office/drawing/2014/main" id="{C8EC7599-3117-482C-91C3-D42D3F715E13}"/>
              </a:ext>
            </a:extLst>
          </xdr:cNvPr>
          <xdr:cNvSpPr/>
        </xdr:nvSpPr>
        <xdr:spPr>
          <a:xfrm>
            <a:off x="3624263" y="1688306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03" name="Straight Connector 1602">
            <a:extLst>
              <a:ext uri="{FF2B5EF4-FFF2-40B4-BE49-F238E27FC236}">
                <a16:creationId xmlns:a16="http://schemas.microsoft.com/office/drawing/2014/main" id="{CA68A296-8386-42FD-966D-65B5AC5BD0E1}"/>
              </a:ext>
            </a:extLst>
          </xdr:cNvPr>
          <xdr:cNvCxnSpPr/>
        </xdr:nvCxnSpPr>
        <xdr:spPr>
          <a:xfrm>
            <a:off x="4781550" y="1676400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4" name="Straight Connector 1603">
            <a:extLst>
              <a:ext uri="{FF2B5EF4-FFF2-40B4-BE49-F238E27FC236}">
                <a16:creationId xmlns:a16="http://schemas.microsoft.com/office/drawing/2014/main" id="{F9DB278D-79FE-4D60-AAFD-83C2775FD9DE}"/>
              </a:ext>
            </a:extLst>
          </xdr:cNvPr>
          <xdr:cNvCxnSpPr/>
        </xdr:nvCxnSpPr>
        <xdr:spPr>
          <a:xfrm>
            <a:off x="5019675" y="15259050"/>
            <a:ext cx="0" cy="387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5" name="Straight Connector 1604">
            <a:extLst>
              <a:ext uri="{FF2B5EF4-FFF2-40B4-BE49-F238E27FC236}">
                <a16:creationId xmlns:a16="http://schemas.microsoft.com/office/drawing/2014/main" id="{98DEBE25-7384-4F50-B773-D9FB0755695E}"/>
              </a:ext>
            </a:extLst>
          </xdr:cNvPr>
          <xdr:cNvCxnSpPr/>
        </xdr:nvCxnSpPr>
        <xdr:spPr>
          <a:xfrm flipH="1">
            <a:off x="4981576" y="19002368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6" name="Straight Connector 1605">
            <a:extLst>
              <a:ext uri="{FF2B5EF4-FFF2-40B4-BE49-F238E27FC236}">
                <a16:creationId xmlns:a16="http://schemas.microsoft.com/office/drawing/2014/main" id="{56B09B52-CBC9-430F-8FF7-235A800DA106}"/>
              </a:ext>
            </a:extLst>
          </xdr:cNvPr>
          <xdr:cNvCxnSpPr/>
        </xdr:nvCxnSpPr>
        <xdr:spPr>
          <a:xfrm flipH="1">
            <a:off x="4976814" y="167211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7" name="Straight Connector 1606">
            <a:extLst>
              <a:ext uri="{FF2B5EF4-FFF2-40B4-BE49-F238E27FC236}">
                <a16:creationId xmlns:a16="http://schemas.microsoft.com/office/drawing/2014/main" id="{011BD68B-F3F5-4FD6-BD9D-89BE8C211CF5}"/>
              </a:ext>
            </a:extLst>
          </xdr:cNvPr>
          <xdr:cNvCxnSpPr/>
        </xdr:nvCxnSpPr>
        <xdr:spPr>
          <a:xfrm>
            <a:off x="3509962" y="16764000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8" name="Straight Connector 1607">
            <a:extLst>
              <a:ext uri="{FF2B5EF4-FFF2-40B4-BE49-F238E27FC236}">
                <a16:creationId xmlns:a16="http://schemas.microsoft.com/office/drawing/2014/main" id="{B919071C-8392-4E73-B946-A5D2F0317AC2}"/>
              </a:ext>
            </a:extLst>
          </xdr:cNvPr>
          <xdr:cNvCxnSpPr/>
        </xdr:nvCxnSpPr>
        <xdr:spPr>
          <a:xfrm>
            <a:off x="4410075" y="16764000"/>
            <a:ext cx="2571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9" name="Straight Connector 1608">
            <a:extLst>
              <a:ext uri="{FF2B5EF4-FFF2-40B4-BE49-F238E27FC236}">
                <a16:creationId xmlns:a16="http://schemas.microsoft.com/office/drawing/2014/main" id="{948BEB4C-BF25-4678-ACA2-FCA449BE11BE}"/>
              </a:ext>
            </a:extLst>
          </xdr:cNvPr>
          <xdr:cNvCxnSpPr/>
        </xdr:nvCxnSpPr>
        <xdr:spPr>
          <a:xfrm flipH="1">
            <a:off x="4976813" y="15287625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1" name="Straight Connector 1610">
            <a:extLst>
              <a:ext uri="{FF2B5EF4-FFF2-40B4-BE49-F238E27FC236}">
                <a16:creationId xmlns:a16="http://schemas.microsoft.com/office/drawing/2014/main" id="{1966CEF0-1309-41C7-B732-ABA8D8EA1595}"/>
              </a:ext>
            </a:extLst>
          </xdr:cNvPr>
          <xdr:cNvCxnSpPr/>
        </xdr:nvCxnSpPr>
        <xdr:spPr>
          <a:xfrm>
            <a:off x="1147763" y="18716625"/>
            <a:ext cx="1609725" cy="4727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2" name="Straight Connector 1611">
            <a:extLst>
              <a:ext uri="{FF2B5EF4-FFF2-40B4-BE49-F238E27FC236}">
                <a16:creationId xmlns:a16="http://schemas.microsoft.com/office/drawing/2014/main" id="{E58011D7-925E-4EDE-8690-9D5A20809F22}"/>
              </a:ext>
            </a:extLst>
          </xdr:cNvPr>
          <xdr:cNvCxnSpPr/>
        </xdr:nvCxnSpPr>
        <xdr:spPr>
          <a:xfrm flipH="1" flipV="1">
            <a:off x="1138238" y="18707100"/>
            <a:ext cx="1457325" cy="4761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3" name="Straight Connector 1612">
            <a:extLst>
              <a:ext uri="{FF2B5EF4-FFF2-40B4-BE49-F238E27FC236}">
                <a16:creationId xmlns:a16="http://schemas.microsoft.com/office/drawing/2014/main" id="{810E4803-3684-495B-ADC0-0C774B1A21C2}"/>
              </a:ext>
            </a:extLst>
          </xdr:cNvPr>
          <xdr:cNvCxnSpPr/>
        </xdr:nvCxnSpPr>
        <xdr:spPr>
          <a:xfrm flipH="1">
            <a:off x="2919413" y="18711863"/>
            <a:ext cx="1447800" cy="4285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4" name="Straight Connector 1613">
            <a:extLst>
              <a:ext uri="{FF2B5EF4-FFF2-40B4-BE49-F238E27FC236}">
                <a16:creationId xmlns:a16="http://schemas.microsoft.com/office/drawing/2014/main" id="{990C5BDB-1E84-4F29-AB8F-A47EF6AC0386}"/>
              </a:ext>
            </a:extLst>
          </xdr:cNvPr>
          <xdr:cNvCxnSpPr/>
        </xdr:nvCxnSpPr>
        <xdr:spPr>
          <a:xfrm>
            <a:off x="2762248" y="187642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5" name="Straight Connector 1614">
            <a:extLst>
              <a:ext uri="{FF2B5EF4-FFF2-40B4-BE49-F238E27FC236}">
                <a16:creationId xmlns:a16="http://schemas.microsoft.com/office/drawing/2014/main" id="{1FA6E045-ABBB-47BD-A2F8-C6F3AD442258}"/>
              </a:ext>
            </a:extLst>
          </xdr:cNvPr>
          <xdr:cNvCxnSpPr/>
        </xdr:nvCxnSpPr>
        <xdr:spPr>
          <a:xfrm flipH="1">
            <a:off x="3190872" y="19007146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6" name="Straight Connector 1615">
            <a:extLst>
              <a:ext uri="{FF2B5EF4-FFF2-40B4-BE49-F238E27FC236}">
                <a16:creationId xmlns:a16="http://schemas.microsoft.com/office/drawing/2014/main" id="{367ED8D2-DF78-4452-A90B-CF839C5D45DF}"/>
              </a:ext>
            </a:extLst>
          </xdr:cNvPr>
          <xdr:cNvCxnSpPr/>
        </xdr:nvCxnSpPr>
        <xdr:spPr>
          <a:xfrm flipH="1">
            <a:off x="728663" y="1868329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7" name="Straight Connector 1616">
            <a:extLst>
              <a:ext uri="{FF2B5EF4-FFF2-40B4-BE49-F238E27FC236}">
                <a16:creationId xmlns:a16="http://schemas.microsoft.com/office/drawing/2014/main" id="{882BE7B8-66D9-403F-99CE-8716F1AEECAA}"/>
              </a:ext>
            </a:extLst>
          </xdr:cNvPr>
          <xdr:cNvCxnSpPr/>
        </xdr:nvCxnSpPr>
        <xdr:spPr>
          <a:xfrm flipH="1">
            <a:off x="766763" y="1864519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32</xdr:col>
      <xdr:colOff>104775</xdr:colOff>
      <xdr:row>301</xdr:row>
      <xdr:rowOff>57150</xdr:rowOff>
    </xdr:from>
    <xdr:to>
      <xdr:col>54</xdr:col>
      <xdr:colOff>95250</xdr:colOff>
      <xdr:row>313</xdr:row>
      <xdr:rowOff>123825</xdr:rowOff>
    </xdr:to>
    <xdr:pic>
      <xdr:nvPicPr>
        <xdr:cNvPr id="1618" name="Picture 1617">
          <a:extLst>
            <a:ext uri="{FF2B5EF4-FFF2-40B4-BE49-F238E27FC236}">
              <a16:creationId xmlns:a16="http://schemas.microsoft.com/office/drawing/2014/main" id="{215DF19D-C80F-4E4C-9A81-E10DA6BBEB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90" t="41090" r="44300" b="31370"/>
        <a:stretch/>
      </xdr:blipFill>
      <xdr:spPr bwMode="auto">
        <a:xfrm>
          <a:off x="5286375" y="38661975"/>
          <a:ext cx="3552825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123825</xdr:colOff>
      <xdr:row>339</xdr:row>
      <xdr:rowOff>47625</xdr:rowOff>
    </xdr:from>
    <xdr:to>
      <xdr:col>57</xdr:col>
      <xdr:colOff>142875</xdr:colOff>
      <xdr:row>340</xdr:row>
      <xdr:rowOff>66675</xdr:rowOff>
    </xdr:to>
    <xdr:cxnSp macro="">
      <xdr:nvCxnSpPr>
        <xdr:cNvPr id="1619" name="Straight Arrow Connector 1618">
          <a:extLst>
            <a:ext uri="{FF2B5EF4-FFF2-40B4-BE49-F238E27FC236}">
              <a16:creationId xmlns:a16="http://schemas.microsoft.com/office/drawing/2014/main" id="{46FE968C-9EAE-4DE9-AB3B-8737D42C1D36}"/>
            </a:ext>
          </a:extLst>
        </xdr:cNvPr>
        <xdr:cNvCxnSpPr/>
      </xdr:nvCxnSpPr>
      <xdr:spPr>
        <a:xfrm flipH="1" flipV="1">
          <a:off x="9029700" y="44577000"/>
          <a:ext cx="34290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85725</xdr:colOff>
      <xdr:row>365</xdr:row>
      <xdr:rowOff>66675</xdr:rowOff>
    </xdr:from>
    <xdr:to>
      <xdr:col>45</xdr:col>
      <xdr:colOff>8164</xdr:colOff>
      <xdr:row>371</xdr:row>
      <xdr:rowOff>1360</xdr:rowOff>
    </xdr:to>
    <xdr:grpSp>
      <xdr:nvGrpSpPr>
        <xdr:cNvPr id="1770" name="Group 1769">
          <a:extLst>
            <a:ext uri="{FF2B5EF4-FFF2-40B4-BE49-F238E27FC236}">
              <a16:creationId xmlns:a16="http://schemas.microsoft.com/office/drawing/2014/main" id="{C2B87CED-C501-471F-A73F-353AD8DDA300}"/>
            </a:ext>
          </a:extLst>
        </xdr:cNvPr>
        <xdr:cNvGrpSpPr/>
      </xdr:nvGrpSpPr>
      <xdr:grpSpPr>
        <a:xfrm>
          <a:off x="5591175" y="56168925"/>
          <a:ext cx="1703614" cy="791935"/>
          <a:chOff x="6076950" y="10163175"/>
          <a:chExt cx="1703614" cy="791935"/>
        </a:xfrm>
      </xdr:grpSpPr>
      <xdr:sp macro="" textlink="">
        <xdr:nvSpPr>
          <xdr:cNvPr id="1771" name="Freeform: Shape 1770">
            <a:extLst>
              <a:ext uri="{FF2B5EF4-FFF2-40B4-BE49-F238E27FC236}">
                <a16:creationId xmlns:a16="http://schemas.microsoft.com/office/drawing/2014/main" id="{8FA161B9-5FBB-4E83-BE92-BF4D45221954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72" name="Freeform: Shape 1771">
            <a:extLst>
              <a:ext uri="{FF2B5EF4-FFF2-40B4-BE49-F238E27FC236}">
                <a16:creationId xmlns:a16="http://schemas.microsoft.com/office/drawing/2014/main" id="{F7F34E06-07A5-4FA6-B4C0-93C4A3F9DA45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73" name="Freeform: Shape 1772">
            <a:extLst>
              <a:ext uri="{FF2B5EF4-FFF2-40B4-BE49-F238E27FC236}">
                <a16:creationId xmlns:a16="http://schemas.microsoft.com/office/drawing/2014/main" id="{1EC1784F-1756-49DD-B2F4-D4D50B987D61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774" name="Straight Connector 1773">
            <a:extLst>
              <a:ext uri="{FF2B5EF4-FFF2-40B4-BE49-F238E27FC236}">
                <a16:creationId xmlns:a16="http://schemas.microsoft.com/office/drawing/2014/main" id="{7389E8C8-DEE2-4B42-917D-D069D1273060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5" name="Straight Connector 1774">
            <a:extLst>
              <a:ext uri="{FF2B5EF4-FFF2-40B4-BE49-F238E27FC236}">
                <a16:creationId xmlns:a16="http://schemas.microsoft.com/office/drawing/2014/main" id="{AC4E0E55-9606-496A-9B84-3F5F94061067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6" name="Straight Connector 1775">
            <a:extLst>
              <a:ext uri="{FF2B5EF4-FFF2-40B4-BE49-F238E27FC236}">
                <a16:creationId xmlns:a16="http://schemas.microsoft.com/office/drawing/2014/main" id="{3632B4E3-33AB-467B-A3E0-F328B7A5DFC2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7" name="Straight Connector 1776">
            <a:extLst>
              <a:ext uri="{FF2B5EF4-FFF2-40B4-BE49-F238E27FC236}">
                <a16:creationId xmlns:a16="http://schemas.microsoft.com/office/drawing/2014/main" id="{0742DE91-E4AA-4F1E-B410-13A6F96F763B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8" name="Straight Connector 1777">
            <a:extLst>
              <a:ext uri="{FF2B5EF4-FFF2-40B4-BE49-F238E27FC236}">
                <a16:creationId xmlns:a16="http://schemas.microsoft.com/office/drawing/2014/main" id="{4B5CABAE-22CB-463D-BA1E-2D3AED3D5D0D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9" name="Straight Connector 1778">
            <a:extLst>
              <a:ext uri="{FF2B5EF4-FFF2-40B4-BE49-F238E27FC236}">
                <a16:creationId xmlns:a16="http://schemas.microsoft.com/office/drawing/2014/main" id="{7A6074AD-A856-4415-BE30-3909E81DDF42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0" name="Straight Connector 1779">
            <a:extLst>
              <a:ext uri="{FF2B5EF4-FFF2-40B4-BE49-F238E27FC236}">
                <a16:creationId xmlns:a16="http://schemas.microsoft.com/office/drawing/2014/main" id="{CDBBC954-424B-4530-BFCB-9506B1CFB5DE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1" name="Straight Connector 1780">
            <a:extLst>
              <a:ext uri="{FF2B5EF4-FFF2-40B4-BE49-F238E27FC236}">
                <a16:creationId xmlns:a16="http://schemas.microsoft.com/office/drawing/2014/main" id="{FD3EBF6F-42AB-4A82-AE47-7483C50783A5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2" name="Straight Connector 1781">
            <a:extLst>
              <a:ext uri="{FF2B5EF4-FFF2-40B4-BE49-F238E27FC236}">
                <a16:creationId xmlns:a16="http://schemas.microsoft.com/office/drawing/2014/main" id="{B30F3048-54E1-4D88-9BFB-8CA53AA99AF2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3" name="Straight Connector 1782">
            <a:extLst>
              <a:ext uri="{FF2B5EF4-FFF2-40B4-BE49-F238E27FC236}">
                <a16:creationId xmlns:a16="http://schemas.microsoft.com/office/drawing/2014/main" id="{0073F925-C08B-4DDC-91A5-4FEC03B69244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84" name="Freeform: Shape 1783">
            <a:extLst>
              <a:ext uri="{FF2B5EF4-FFF2-40B4-BE49-F238E27FC236}">
                <a16:creationId xmlns:a16="http://schemas.microsoft.com/office/drawing/2014/main" id="{947FEF8B-FC87-4DFF-ABFB-AE4F86981909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333</xdr:row>
      <xdr:rowOff>61913</xdr:rowOff>
    </xdr:from>
    <xdr:to>
      <xdr:col>31</xdr:col>
      <xdr:colOff>90488</xdr:colOff>
      <xdr:row>371</xdr:row>
      <xdr:rowOff>85725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1E6DFA9E-CD21-4B23-9ED0-E278D2BCD8A9}"/>
            </a:ext>
          </a:extLst>
        </xdr:cNvPr>
        <xdr:cNvGrpSpPr/>
      </xdr:nvGrpSpPr>
      <xdr:grpSpPr>
        <a:xfrm>
          <a:off x="395288" y="51592163"/>
          <a:ext cx="4714875" cy="5453062"/>
          <a:chOff x="395288" y="43734038"/>
          <a:chExt cx="4714875" cy="5453062"/>
        </a:xfrm>
      </xdr:grpSpPr>
      <xdr:cxnSp macro="">
        <xdr:nvCxnSpPr>
          <xdr:cNvPr id="1621" name="Straight Connector 1620">
            <a:extLst>
              <a:ext uri="{FF2B5EF4-FFF2-40B4-BE49-F238E27FC236}">
                <a16:creationId xmlns:a16="http://schemas.microsoft.com/office/drawing/2014/main" id="{300E9CD2-8C73-48C4-883E-E9ECDF48BEE3}"/>
              </a:ext>
            </a:extLst>
          </xdr:cNvPr>
          <xdr:cNvCxnSpPr/>
        </xdr:nvCxnSpPr>
        <xdr:spPr>
          <a:xfrm flipH="1">
            <a:off x="2757488" y="44391263"/>
            <a:ext cx="319087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2" name="Straight Connector 1621">
            <a:extLst>
              <a:ext uri="{FF2B5EF4-FFF2-40B4-BE49-F238E27FC236}">
                <a16:creationId xmlns:a16="http://schemas.microsoft.com/office/drawing/2014/main" id="{20BD4924-43B7-4A85-A7D5-D0B95B87CF7E}"/>
              </a:ext>
            </a:extLst>
          </xdr:cNvPr>
          <xdr:cNvCxnSpPr/>
        </xdr:nvCxnSpPr>
        <xdr:spPr>
          <a:xfrm>
            <a:off x="1938338" y="44396025"/>
            <a:ext cx="809625" cy="1975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3" name="Straight Connector 1622">
            <a:extLst>
              <a:ext uri="{FF2B5EF4-FFF2-40B4-BE49-F238E27FC236}">
                <a16:creationId xmlns:a16="http://schemas.microsoft.com/office/drawing/2014/main" id="{21C8E420-C692-494A-A25F-5CC4E0864E4D}"/>
              </a:ext>
            </a:extLst>
          </xdr:cNvPr>
          <xdr:cNvCxnSpPr/>
        </xdr:nvCxnSpPr>
        <xdr:spPr>
          <a:xfrm>
            <a:off x="1133475" y="44986575"/>
            <a:ext cx="1624013" cy="17002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4" name="Straight Connector 1623">
            <a:extLst>
              <a:ext uri="{FF2B5EF4-FFF2-40B4-BE49-F238E27FC236}">
                <a16:creationId xmlns:a16="http://schemas.microsoft.com/office/drawing/2014/main" id="{013F192E-4D07-4CDA-AFDA-76C5D5931CC8}"/>
              </a:ext>
            </a:extLst>
          </xdr:cNvPr>
          <xdr:cNvCxnSpPr/>
        </xdr:nvCxnSpPr>
        <xdr:spPr>
          <a:xfrm>
            <a:off x="1138238" y="45577125"/>
            <a:ext cx="1614487" cy="124659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5" name="Straight Connector 1624">
            <a:extLst>
              <a:ext uri="{FF2B5EF4-FFF2-40B4-BE49-F238E27FC236}">
                <a16:creationId xmlns:a16="http://schemas.microsoft.com/office/drawing/2014/main" id="{79EC170F-A057-4814-9B61-AA588CD0489F}"/>
              </a:ext>
            </a:extLst>
          </xdr:cNvPr>
          <xdr:cNvCxnSpPr/>
        </xdr:nvCxnSpPr>
        <xdr:spPr>
          <a:xfrm>
            <a:off x="1143000" y="46591538"/>
            <a:ext cx="1604963" cy="690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6" name="Straight Connector 1625">
            <a:extLst>
              <a:ext uri="{FF2B5EF4-FFF2-40B4-BE49-F238E27FC236}">
                <a16:creationId xmlns:a16="http://schemas.microsoft.com/office/drawing/2014/main" id="{615AF2FD-9347-446A-87EA-A2540C427BEF}"/>
              </a:ext>
            </a:extLst>
          </xdr:cNvPr>
          <xdr:cNvCxnSpPr/>
        </xdr:nvCxnSpPr>
        <xdr:spPr>
          <a:xfrm>
            <a:off x="1143000" y="47077313"/>
            <a:ext cx="1604963" cy="381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7" name="Straight Connector 1626">
            <a:extLst>
              <a:ext uri="{FF2B5EF4-FFF2-40B4-BE49-F238E27FC236}">
                <a16:creationId xmlns:a16="http://schemas.microsoft.com/office/drawing/2014/main" id="{0B2DD26A-B8B1-4908-9837-542D0661B6FD}"/>
              </a:ext>
            </a:extLst>
          </xdr:cNvPr>
          <xdr:cNvCxnSpPr/>
        </xdr:nvCxnSpPr>
        <xdr:spPr>
          <a:xfrm flipV="1">
            <a:off x="2752725" y="47086838"/>
            <a:ext cx="1619250" cy="372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8" name="Straight Connector 1627">
            <a:extLst>
              <a:ext uri="{FF2B5EF4-FFF2-40B4-BE49-F238E27FC236}">
                <a16:creationId xmlns:a16="http://schemas.microsoft.com/office/drawing/2014/main" id="{03EC4350-973B-40DA-838B-2B1A09ED52AA}"/>
              </a:ext>
            </a:extLst>
          </xdr:cNvPr>
          <xdr:cNvCxnSpPr/>
        </xdr:nvCxnSpPr>
        <xdr:spPr>
          <a:xfrm flipV="1">
            <a:off x="2747963" y="46072425"/>
            <a:ext cx="1624012" cy="99116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9" name="Straight Connector 1628">
            <a:extLst>
              <a:ext uri="{FF2B5EF4-FFF2-40B4-BE49-F238E27FC236}">
                <a16:creationId xmlns:a16="http://schemas.microsoft.com/office/drawing/2014/main" id="{814BDFF1-606C-4284-8252-DF54D21F0CE8}"/>
              </a:ext>
            </a:extLst>
          </xdr:cNvPr>
          <xdr:cNvCxnSpPr/>
        </xdr:nvCxnSpPr>
        <xdr:spPr>
          <a:xfrm flipV="1">
            <a:off x="2752725" y="45562838"/>
            <a:ext cx="1624013" cy="125994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0" name="Straight Connector 1629">
            <a:extLst>
              <a:ext uri="{FF2B5EF4-FFF2-40B4-BE49-F238E27FC236}">
                <a16:creationId xmlns:a16="http://schemas.microsoft.com/office/drawing/2014/main" id="{25CB03C6-D987-4692-A037-7E51DEE42BD1}"/>
              </a:ext>
            </a:extLst>
          </xdr:cNvPr>
          <xdr:cNvCxnSpPr/>
        </xdr:nvCxnSpPr>
        <xdr:spPr>
          <a:xfrm flipV="1">
            <a:off x="2757488" y="44991338"/>
            <a:ext cx="1619250" cy="169114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1" name="Straight Connector 1630">
            <a:extLst>
              <a:ext uri="{FF2B5EF4-FFF2-40B4-BE49-F238E27FC236}">
                <a16:creationId xmlns:a16="http://schemas.microsoft.com/office/drawing/2014/main" id="{698F21EE-DBF8-4E79-BD25-08BE6D571514}"/>
              </a:ext>
            </a:extLst>
          </xdr:cNvPr>
          <xdr:cNvCxnSpPr/>
        </xdr:nvCxnSpPr>
        <xdr:spPr>
          <a:xfrm flipH="1">
            <a:off x="2757298" y="44391263"/>
            <a:ext cx="814577" cy="1985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2" name="Straight Connector 1631">
            <a:extLst>
              <a:ext uri="{FF2B5EF4-FFF2-40B4-BE49-F238E27FC236}">
                <a16:creationId xmlns:a16="http://schemas.microsoft.com/office/drawing/2014/main" id="{DA23F6EA-6436-4D4D-B604-6936F6D198E5}"/>
              </a:ext>
            </a:extLst>
          </xdr:cNvPr>
          <xdr:cNvCxnSpPr/>
        </xdr:nvCxnSpPr>
        <xdr:spPr>
          <a:xfrm flipV="1">
            <a:off x="2824163" y="44391263"/>
            <a:ext cx="252412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3" name="Straight Connector 1632">
            <a:extLst>
              <a:ext uri="{FF2B5EF4-FFF2-40B4-BE49-F238E27FC236}">
                <a16:creationId xmlns:a16="http://schemas.microsoft.com/office/drawing/2014/main" id="{8D490886-24C8-4ACB-98EC-BFAD1139C3D9}"/>
              </a:ext>
            </a:extLst>
          </xdr:cNvPr>
          <xdr:cNvCxnSpPr/>
        </xdr:nvCxnSpPr>
        <xdr:spPr>
          <a:xfrm flipV="1">
            <a:off x="2757488" y="46596300"/>
            <a:ext cx="1614487" cy="686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4" name="Straight Connector 1633">
            <a:extLst>
              <a:ext uri="{FF2B5EF4-FFF2-40B4-BE49-F238E27FC236}">
                <a16:creationId xmlns:a16="http://schemas.microsoft.com/office/drawing/2014/main" id="{19E0BCC5-68F1-459D-B49B-21CF1253FD3C}"/>
              </a:ext>
            </a:extLst>
          </xdr:cNvPr>
          <xdr:cNvCxnSpPr/>
        </xdr:nvCxnSpPr>
        <xdr:spPr>
          <a:xfrm flipV="1">
            <a:off x="2752725" y="44248388"/>
            <a:ext cx="0" cy="464820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5" name="Straight Connector 1634">
            <a:extLst>
              <a:ext uri="{FF2B5EF4-FFF2-40B4-BE49-F238E27FC236}">
                <a16:creationId xmlns:a16="http://schemas.microsoft.com/office/drawing/2014/main" id="{55661DFB-537B-4C7B-AB46-FE18F6742988}"/>
              </a:ext>
            </a:extLst>
          </xdr:cNvPr>
          <xdr:cNvCxnSpPr/>
        </xdr:nvCxnSpPr>
        <xdr:spPr>
          <a:xfrm>
            <a:off x="2424113" y="44400788"/>
            <a:ext cx="333375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6" name="Straight Connector 1635">
            <a:extLst>
              <a:ext uri="{FF2B5EF4-FFF2-40B4-BE49-F238E27FC236}">
                <a16:creationId xmlns:a16="http://schemas.microsoft.com/office/drawing/2014/main" id="{00CD116C-A20E-44E3-86D1-5916454740A0}"/>
              </a:ext>
            </a:extLst>
          </xdr:cNvPr>
          <xdr:cNvCxnSpPr/>
        </xdr:nvCxnSpPr>
        <xdr:spPr>
          <a:xfrm>
            <a:off x="1295400" y="44391263"/>
            <a:ext cx="1462088" cy="2147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7" name="Straight Connector 1636">
            <a:extLst>
              <a:ext uri="{FF2B5EF4-FFF2-40B4-BE49-F238E27FC236}">
                <a16:creationId xmlns:a16="http://schemas.microsoft.com/office/drawing/2014/main" id="{95389BC0-8471-4EE2-801D-0FA5DA5DAB31}"/>
              </a:ext>
            </a:extLst>
          </xdr:cNvPr>
          <xdr:cNvCxnSpPr/>
        </xdr:nvCxnSpPr>
        <xdr:spPr>
          <a:xfrm flipV="1">
            <a:off x="2762250" y="44400788"/>
            <a:ext cx="1447800" cy="2133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8" name="Straight Connector 1637">
            <a:extLst>
              <a:ext uri="{FF2B5EF4-FFF2-40B4-BE49-F238E27FC236}">
                <a16:creationId xmlns:a16="http://schemas.microsoft.com/office/drawing/2014/main" id="{F692655D-0CC4-4568-AD63-AC6F7403DBC3}"/>
              </a:ext>
            </a:extLst>
          </xdr:cNvPr>
          <xdr:cNvCxnSpPr/>
        </xdr:nvCxnSpPr>
        <xdr:spPr>
          <a:xfrm flipH="1" flipV="1">
            <a:off x="2419350" y="44381738"/>
            <a:ext cx="266701" cy="14335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9" name="Straight Connector 1638">
            <a:extLst>
              <a:ext uri="{FF2B5EF4-FFF2-40B4-BE49-F238E27FC236}">
                <a16:creationId xmlns:a16="http://schemas.microsoft.com/office/drawing/2014/main" id="{9021A8CA-A1C3-47E4-B772-6FC755A33B7D}"/>
              </a:ext>
            </a:extLst>
          </xdr:cNvPr>
          <xdr:cNvCxnSpPr/>
        </xdr:nvCxnSpPr>
        <xdr:spPr>
          <a:xfrm flipH="1" flipV="1">
            <a:off x="1928815" y="44391264"/>
            <a:ext cx="667537" cy="160019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0" name="Straight Connector 1639">
            <a:extLst>
              <a:ext uri="{FF2B5EF4-FFF2-40B4-BE49-F238E27FC236}">
                <a16:creationId xmlns:a16="http://schemas.microsoft.com/office/drawing/2014/main" id="{7CBFB5B1-1B3E-4A7F-8D3D-A4769F79F9BA}"/>
              </a:ext>
            </a:extLst>
          </xdr:cNvPr>
          <xdr:cNvCxnSpPr/>
        </xdr:nvCxnSpPr>
        <xdr:spPr>
          <a:xfrm flipH="1">
            <a:off x="2914650" y="44391263"/>
            <a:ext cx="657225" cy="159543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1" name="Straight Connector 1640">
            <a:extLst>
              <a:ext uri="{FF2B5EF4-FFF2-40B4-BE49-F238E27FC236}">
                <a16:creationId xmlns:a16="http://schemas.microsoft.com/office/drawing/2014/main" id="{04A2F9C5-41CF-4505-A859-7E5BBFB06FA9}"/>
              </a:ext>
            </a:extLst>
          </xdr:cNvPr>
          <xdr:cNvCxnSpPr/>
        </xdr:nvCxnSpPr>
        <xdr:spPr>
          <a:xfrm flipH="1" flipV="1">
            <a:off x="1295401" y="44391264"/>
            <a:ext cx="1300162" cy="190023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2" name="Straight Connector 1641">
            <a:extLst>
              <a:ext uri="{FF2B5EF4-FFF2-40B4-BE49-F238E27FC236}">
                <a16:creationId xmlns:a16="http://schemas.microsoft.com/office/drawing/2014/main" id="{6CD38758-FDBC-4105-9EB7-DB0BD1FD02CA}"/>
              </a:ext>
            </a:extLst>
          </xdr:cNvPr>
          <xdr:cNvCxnSpPr/>
        </xdr:nvCxnSpPr>
        <xdr:spPr>
          <a:xfrm flipH="1">
            <a:off x="2914650" y="44391263"/>
            <a:ext cx="1295401" cy="19192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3" name="Straight Connector 1642">
            <a:extLst>
              <a:ext uri="{FF2B5EF4-FFF2-40B4-BE49-F238E27FC236}">
                <a16:creationId xmlns:a16="http://schemas.microsoft.com/office/drawing/2014/main" id="{7F02CD69-BDA1-44E0-B384-78038D8A6450}"/>
              </a:ext>
            </a:extLst>
          </xdr:cNvPr>
          <xdr:cNvCxnSpPr/>
        </xdr:nvCxnSpPr>
        <xdr:spPr>
          <a:xfrm flipH="1" flipV="1">
            <a:off x="1128713" y="44977050"/>
            <a:ext cx="1457325" cy="15335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4" name="Straight Connector 1643">
            <a:extLst>
              <a:ext uri="{FF2B5EF4-FFF2-40B4-BE49-F238E27FC236}">
                <a16:creationId xmlns:a16="http://schemas.microsoft.com/office/drawing/2014/main" id="{FB91B62E-852A-4FDF-A81D-A94CC0A93CED}"/>
              </a:ext>
            </a:extLst>
          </xdr:cNvPr>
          <xdr:cNvCxnSpPr/>
        </xdr:nvCxnSpPr>
        <xdr:spPr>
          <a:xfrm flipH="1">
            <a:off x="2914650" y="44986575"/>
            <a:ext cx="1466850" cy="15382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5" name="Straight Connector 1644">
            <a:extLst>
              <a:ext uri="{FF2B5EF4-FFF2-40B4-BE49-F238E27FC236}">
                <a16:creationId xmlns:a16="http://schemas.microsoft.com/office/drawing/2014/main" id="{2E5A500C-6AB8-4CFD-BAB6-86E4854CC465}"/>
              </a:ext>
            </a:extLst>
          </xdr:cNvPr>
          <xdr:cNvCxnSpPr/>
        </xdr:nvCxnSpPr>
        <xdr:spPr>
          <a:xfrm flipH="1" flipV="1">
            <a:off x="1133476" y="45572364"/>
            <a:ext cx="1462087" cy="112394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6" name="Straight Connector 1645">
            <a:extLst>
              <a:ext uri="{FF2B5EF4-FFF2-40B4-BE49-F238E27FC236}">
                <a16:creationId xmlns:a16="http://schemas.microsoft.com/office/drawing/2014/main" id="{C334D59D-082A-4DD3-AE06-766C5C0BD01F}"/>
              </a:ext>
            </a:extLst>
          </xdr:cNvPr>
          <xdr:cNvCxnSpPr/>
        </xdr:nvCxnSpPr>
        <xdr:spPr>
          <a:xfrm flipH="1">
            <a:off x="2919413" y="45562838"/>
            <a:ext cx="1452563" cy="11287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7" name="Straight Connector 1646">
            <a:extLst>
              <a:ext uri="{FF2B5EF4-FFF2-40B4-BE49-F238E27FC236}">
                <a16:creationId xmlns:a16="http://schemas.microsoft.com/office/drawing/2014/main" id="{B3F95928-0DE2-422E-87D0-52760BA231C3}"/>
              </a:ext>
            </a:extLst>
          </xdr:cNvPr>
          <xdr:cNvCxnSpPr/>
        </xdr:nvCxnSpPr>
        <xdr:spPr>
          <a:xfrm flipH="1" flipV="1">
            <a:off x="1133475" y="46058138"/>
            <a:ext cx="1447800" cy="9001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8" name="Straight Connector 1647">
            <a:extLst>
              <a:ext uri="{FF2B5EF4-FFF2-40B4-BE49-F238E27FC236}">
                <a16:creationId xmlns:a16="http://schemas.microsoft.com/office/drawing/2014/main" id="{8C75FCE0-4F62-4590-83A4-EEA39264C8FC}"/>
              </a:ext>
            </a:extLst>
          </xdr:cNvPr>
          <xdr:cNvCxnSpPr/>
        </xdr:nvCxnSpPr>
        <xdr:spPr>
          <a:xfrm flipH="1">
            <a:off x="2924175" y="46072425"/>
            <a:ext cx="1452564" cy="8905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9" name="Straight Connector 1648">
            <a:extLst>
              <a:ext uri="{FF2B5EF4-FFF2-40B4-BE49-F238E27FC236}">
                <a16:creationId xmlns:a16="http://schemas.microsoft.com/office/drawing/2014/main" id="{B70FD454-E782-454A-B96C-9DEE16F160A2}"/>
              </a:ext>
            </a:extLst>
          </xdr:cNvPr>
          <xdr:cNvCxnSpPr/>
        </xdr:nvCxnSpPr>
        <xdr:spPr>
          <a:xfrm flipH="1" flipV="1">
            <a:off x="1133476" y="46591538"/>
            <a:ext cx="1457324" cy="6286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0" name="Straight Connector 1649">
            <a:extLst>
              <a:ext uri="{FF2B5EF4-FFF2-40B4-BE49-F238E27FC236}">
                <a16:creationId xmlns:a16="http://schemas.microsoft.com/office/drawing/2014/main" id="{26918158-49CC-4229-8C1A-368C9E88EEC4}"/>
              </a:ext>
            </a:extLst>
          </xdr:cNvPr>
          <xdr:cNvCxnSpPr/>
        </xdr:nvCxnSpPr>
        <xdr:spPr>
          <a:xfrm flipH="1">
            <a:off x="2909888" y="46591538"/>
            <a:ext cx="1466851" cy="6286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1" name="Straight Connector 1650">
            <a:extLst>
              <a:ext uri="{FF2B5EF4-FFF2-40B4-BE49-F238E27FC236}">
                <a16:creationId xmlns:a16="http://schemas.microsoft.com/office/drawing/2014/main" id="{84F11BFB-B2B6-44C0-A6EC-2E19833CCFCA}"/>
              </a:ext>
            </a:extLst>
          </xdr:cNvPr>
          <xdr:cNvCxnSpPr/>
        </xdr:nvCxnSpPr>
        <xdr:spPr>
          <a:xfrm flipH="1" flipV="1">
            <a:off x="1133475" y="47077313"/>
            <a:ext cx="1466850" cy="3429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2" name="Straight Connector 1651">
            <a:extLst>
              <a:ext uri="{FF2B5EF4-FFF2-40B4-BE49-F238E27FC236}">
                <a16:creationId xmlns:a16="http://schemas.microsoft.com/office/drawing/2014/main" id="{8BF4C94D-F428-41DE-85A1-B564795F114C}"/>
              </a:ext>
            </a:extLst>
          </xdr:cNvPr>
          <xdr:cNvCxnSpPr/>
        </xdr:nvCxnSpPr>
        <xdr:spPr>
          <a:xfrm flipH="1">
            <a:off x="2919413" y="47086838"/>
            <a:ext cx="1452563" cy="3333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3" name="Straight Connector 1652">
            <a:extLst>
              <a:ext uri="{FF2B5EF4-FFF2-40B4-BE49-F238E27FC236}">
                <a16:creationId xmlns:a16="http://schemas.microsoft.com/office/drawing/2014/main" id="{3ADAF12B-3DC8-4C15-B3EE-1DA01B409D9E}"/>
              </a:ext>
            </a:extLst>
          </xdr:cNvPr>
          <xdr:cNvCxnSpPr/>
        </xdr:nvCxnSpPr>
        <xdr:spPr>
          <a:xfrm>
            <a:off x="1066799" y="48815625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4" name="Straight Connector 1653">
            <a:extLst>
              <a:ext uri="{FF2B5EF4-FFF2-40B4-BE49-F238E27FC236}">
                <a16:creationId xmlns:a16="http://schemas.microsoft.com/office/drawing/2014/main" id="{36065893-D23B-447F-AB95-8C1BC5C4EAE2}"/>
              </a:ext>
            </a:extLst>
          </xdr:cNvPr>
          <xdr:cNvCxnSpPr/>
        </xdr:nvCxnSpPr>
        <xdr:spPr>
          <a:xfrm>
            <a:off x="1133475" y="48034575"/>
            <a:ext cx="0" cy="11334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5" name="Straight Connector 1654">
            <a:extLst>
              <a:ext uri="{FF2B5EF4-FFF2-40B4-BE49-F238E27FC236}">
                <a16:creationId xmlns:a16="http://schemas.microsoft.com/office/drawing/2014/main" id="{519AF140-9D7C-48A2-B913-0DDC2519226F}"/>
              </a:ext>
            </a:extLst>
          </xdr:cNvPr>
          <xdr:cNvCxnSpPr/>
        </xdr:nvCxnSpPr>
        <xdr:spPr>
          <a:xfrm flipH="1">
            <a:off x="1090613" y="487775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6" name="Straight Connector 1655">
            <a:extLst>
              <a:ext uri="{FF2B5EF4-FFF2-40B4-BE49-F238E27FC236}">
                <a16:creationId xmlns:a16="http://schemas.microsoft.com/office/drawing/2014/main" id="{EAEC03C5-A159-4D6E-90A2-B26B07856B84}"/>
              </a:ext>
            </a:extLst>
          </xdr:cNvPr>
          <xdr:cNvCxnSpPr/>
        </xdr:nvCxnSpPr>
        <xdr:spPr>
          <a:xfrm>
            <a:off x="4371975" y="48025050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7" name="Straight Connector 1656">
            <a:extLst>
              <a:ext uri="{FF2B5EF4-FFF2-40B4-BE49-F238E27FC236}">
                <a16:creationId xmlns:a16="http://schemas.microsoft.com/office/drawing/2014/main" id="{6A362E80-F0A0-4256-A2F6-573CF0651161}"/>
              </a:ext>
            </a:extLst>
          </xdr:cNvPr>
          <xdr:cNvCxnSpPr/>
        </xdr:nvCxnSpPr>
        <xdr:spPr>
          <a:xfrm flipH="1">
            <a:off x="4329113" y="487775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8" name="Straight Connector 1657">
            <a:extLst>
              <a:ext uri="{FF2B5EF4-FFF2-40B4-BE49-F238E27FC236}">
                <a16:creationId xmlns:a16="http://schemas.microsoft.com/office/drawing/2014/main" id="{8A4CE8EE-01D0-402D-9EF1-44259FF65564}"/>
              </a:ext>
            </a:extLst>
          </xdr:cNvPr>
          <xdr:cNvCxnSpPr/>
        </xdr:nvCxnSpPr>
        <xdr:spPr>
          <a:xfrm flipH="1">
            <a:off x="2709862" y="4877752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9" name="Straight Connector 1658">
            <a:extLst>
              <a:ext uri="{FF2B5EF4-FFF2-40B4-BE49-F238E27FC236}">
                <a16:creationId xmlns:a16="http://schemas.microsoft.com/office/drawing/2014/main" id="{25E61720-86AF-427F-9AF5-65AFB084A8A3}"/>
              </a:ext>
            </a:extLst>
          </xdr:cNvPr>
          <xdr:cNvCxnSpPr/>
        </xdr:nvCxnSpPr>
        <xdr:spPr>
          <a:xfrm>
            <a:off x="1066800" y="48244125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0" name="Straight Connector 1659">
            <a:extLst>
              <a:ext uri="{FF2B5EF4-FFF2-40B4-BE49-F238E27FC236}">
                <a16:creationId xmlns:a16="http://schemas.microsoft.com/office/drawing/2014/main" id="{D0BFE221-2790-4EA0-A40F-0E25F61061C1}"/>
              </a:ext>
            </a:extLst>
          </xdr:cNvPr>
          <xdr:cNvCxnSpPr/>
        </xdr:nvCxnSpPr>
        <xdr:spPr>
          <a:xfrm>
            <a:off x="2590800" y="48025050"/>
            <a:ext cx="0" cy="290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1" name="Straight Connector 1660">
            <a:extLst>
              <a:ext uri="{FF2B5EF4-FFF2-40B4-BE49-F238E27FC236}">
                <a16:creationId xmlns:a16="http://schemas.microsoft.com/office/drawing/2014/main" id="{B5E75C76-D1FC-42E6-BE6B-9EE421033DA2}"/>
              </a:ext>
            </a:extLst>
          </xdr:cNvPr>
          <xdr:cNvCxnSpPr/>
        </xdr:nvCxnSpPr>
        <xdr:spPr>
          <a:xfrm flipH="1">
            <a:off x="2543175" y="48201262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2" name="Straight Connector 1661">
            <a:extLst>
              <a:ext uri="{FF2B5EF4-FFF2-40B4-BE49-F238E27FC236}">
                <a16:creationId xmlns:a16="http://schemas.microsoft.com/office/drawing/2014/main" id="{3258E028-0D7C-419D-98E0-F676AAA200CA}"/>
              </a:ext>
            </a:extLst>
          </xdr:cNvPr>
          <xdr:cNvCxnSpPr/>
        </xdr:nvCxnSpPr>
        <xdr:spPr>
          <a:xfrm>
            <a:off x="2914650" y="48025050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3" name="Straight Connector 1662">
            <a:extLst>
              <a:ext uri="{FF2B5EF4-FFF2-40B4-BE49-F238E27FC236}">
                <a16:creationId xmlns:a16="http://schemas.microsoft.com/office/drawing/2014/main" id="{BAB97C08-9078-4808-8AFC-4119FFD8A293}"/>
              </a:ext>
            </a:extLst>
          </xdr:cNvPr>
          <xdr:cNvCxnSpPr/>
        </xdr:nvCxnSpPr>
        <xdr:spPr>
          <a:xfrm flipH="1">
            <a:off x="2867025" y="4820126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4" name="Straight Connector 1663">
            <a:extLst>
              <a:ext uri="{FF2B5EF4-FFF2-40B4-BE49-F238E27FC236}">
                <a16:creationId xmlns:a16="http://schemas.microsoft.com/office/drawing/2014/main" id="{A03A9F81-FF8D-402A-8D66-2B4FAF7C3141}"/>
              </a:ext>
            </a:extLst>
          </xdr:cNvPr>
          <xdr:cNvCxnSpPr/>
        </xdr:nvCxnSpPr>
        <xdr:spPr>
          <a:xfrm flipH="1">
            <a:off x="3195645" y="47705967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5" name="Straight Connector 1664">
            <a:extLst>
              <a:ext uri="{FF2B5EF4-FFF2-40B4-BE49-F238E27FC236}">
                <a16:creationId xmlns:a16="http://schemas.microsoft.com/office/drawing/2014/main" id="{C31E8287-F9A5-4C19-9B63-DAE4844D1981}"/>
              </a:ext>
            </a:extLst>
          </xdr:cNvPr>
          <xdr:cNvCxnSpPr/>
        </xdr:nvCxnSpPr>
        <xdr:spPr>
          <a:xfrm>
            <a:off x="1824037" y="47891703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6" name="Straight Connector 1665">
            <a:extLst>
              <a:ext uri="{FF2B5EF4-FFF2-40B4-BE49-F238E27FC236}">
                <a16:creationId xmlns:a16="http://schemas.microsoft.com/office/drawing/2014/main" id="{81DD1644-35F6-4D95-99D2-46D743819981}"/>
              </a:ext>
            </a:extLst>
          </xdr:cNvPr>
          <xdr:cNvCxnSpPr/>
        </xdr:nvCxnSpPr>
        <xdr:spPr>
          <a:xfrm>
            <a:off x="1890712" y="47891704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7" name="Straight Connector 1666">
            <a:extLst>
              <a:ext uri="{FF2B5EF4-FFF2-40B4-BE49-F238E27FC236}">
                <a16:creationId xmlns:a16="http://schemas.microsoft.com/office/drawing/2014/main" id="{B534E245-CA92-4365-AC4C-FEE6D238F624}"/>
              </a:ext>
            </a:extLst>
          </xdr:cNvPr>
          <xdr:cNvCxnSpPr/>
        </xdr:nvCxnSpPr>
        <xdr:spPr>
          <a:xfrm flipH="1">
            <a:off x="1090613" y="48206017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8" name="Straight Connector 1667">
            <a:extLst>
              <a:ext uri="{FF2B5EF4-FFF2-40B4-BE49-F238E27FC236}">
                <a16:creationId xmlns:a16="http://schemas.microsoft.com/office/drawing/2014/main" id="{3CF1FC6E-AAAF-43A3-95DD-E0B1950FAE76}"/>
              </a:ext>
            </a:extLst>
          </xdr:cNvPr>
          <xdr:cNvCxnSpPr/>
        </xdr:nvCxnSpPr>
        <xdr:spPr>
          <a:xfrm>
            <a:off x="1857375" y="483870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9" name="Straight Connector 1668">
            <a:extLst>
              <a:ext uri="{FF2B5EF4-FFF2-40B4-BE49-F238E27FC236}">
                <a16:creationId xmlns:a16="http://schemas.microsoft.com/office/drawing/2014/main" id="{7B2B4543-7164-4BDD-91B1-7B649192658A}"/>
              </a:ext>
            </a:extLst>
          </xdr:cNvPr>
          <xdr:cNvCxnSpPr/>
        </xdr:nvCxnSpPr>
        <xdr:spPr>
          <a:xfrm>
            <a:off x="3648075" y="4827746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0" name="Straight Connector 1669">
            <a:extLst>
              <a:ext uri="{FF2B5EF4-FFF2-40B4-BE49-F238E27FC236}">
                <a16:creationId xmlns:a16="http://schemas.microsoft.com/office/drawing/2014/main" id="{B43F697F-4755-41FE-9A66-E28541E19EDE}"/>
              </a:ext>
            </a:extLst>
          </xdr:cNvPr>
          <xdr:cNvCxnSpPr/>
        </xdr:nvCxnSpPr>
        <xdr:spPr>
          <a:xfrm flipH="1">
            <a:off x="3605212" y="4849178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1" name="Straight Connector 1670">
            <a:extLst>
              <a:ext uri="{FF2B5EF4-FFF2-40B4-BE49-F238E27FC236}">
                <a16:creationId xmlns:a16="http://schemas.microsoft.com/office/drawing/2014/main" id="{02250C9C-F610-4A7C-AE00-4CFCFF098845}"/>
              </a:ext>
            </a:extLst>
          </xdr:cNvPr>
          <xdr:cNvCxnSpPr/>
        </xdr:nvCxnSpPr>
        <xdr:spPr>
          <a:xfrm flipV="1">
            <a:off x="1133475" y="43748325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2" name="Straight Connector 1671">
            <a:extLst>
              <a:ext uri="{FF2B5EF4-FFF2-40B4-BE49-F238E27FC236}">
                <a16:creationId xmlns:a16="http://schemas.microsoft.com/office/drawing/2014/main" id="{127E3AD6-A660-4B28-9B39-592F49CB7167}"/>
              </a:ext>
            </a:extLst>
          </xdr:cNvPr>
          <xdr:cNvCxnSpPr/>
        </xdr:nvCxnSpPr>
        <xdr:spPr>
          <a:xfrm>
            <a:off x="1062038" y="4410075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3" name="Straight Connector 1672">
            <a:extLst>
              <a:ext uri="{FF2B5EF4-FFF2-40B4-BE49-F238E27FC236}">
                <a16:creationId xmlns:a16="http://schemas.microsoft.com/office/drawing/2014/main" id="{51B6950E-F796-4294-BBC2-A55600398628}"/>
              </a:ext>
            </a:extLst>
          </xdr:cNvPr>
          <xdr:cNvCxnSpPr/>
        </xdr:nvCxnSpPr>
        <xdr:spPr>
          <a:xfrm flipH="1">
            <a:off x="1090607" y="440674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4" name="Straight Connector 1673">
            <a:extLst>
              <a:ext uri="{FF2B5EF4-FFF2-40B4-BE49-F238E27FC236}">
                <a16:creationId xmlns:a16="http://schemas.microsoft.com/office/drawing/2014/main" id="{F5480BC7-E589-4D7D-BAC7-6ACA7CFE582A}"/>
              </a:ext>
            </a:extLst>
          </xdr:cNvPr>
          <xdr:cNvCxnSpPr/>
        </xdr:nvCxnSpPr>
        <xdr:spPr>
          <a:xfrm>
            <a:off x="1300170" y="4403407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5" name="Straight Connector 1674">
            <a:extLst>
              <a:ext uri="{FF2B5EF4-FFF2-40B4-BE49-F238E27FC236}">
                <a16:creationId xmlns:a16="http://schemas.microsoft.com/office/drawing/2014/main" id="{4938790A-F96E-4722-B5F2-DC0AD34FA5E1}"/>
              </a:ext>
            </a:extLst>
          </xdr:cNvPr>
          <xdr:cNvCxnSpPr/>
        </xdr:nvCxnSpPr>
        <xdr:spPr>
          <a:xfrm flipH="1">
            <a:off x="1252546" y="440626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6" name="Straight Connector 1675">
            <a:extLst>
              <a:ext uri="{FF2B5EF4-FFF2-40B4-BE49-F238E27FC236}">
                <a16:creationId xmlns:a16="http://schemas.microsoft.com/office/drawing/2014/main" id="{E4290917-97BD-40D1-A584-0BAE4797D0B7}"/>
              </a:ext>
            </a:extLst>
          </xdr:cNvPr>
          <xdr:cNvCxnSpPr/>
        </xdr:nvCxnSpPr>
        <xdr:spPr>
          <a:xfrm>
            <a:off x="2752726" y="43734038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7" name="Straight Connector 1676">
            <a:extLst>
              <a:ext uri="{FF2B5EF4-FFF2-40B4-BE49-F238E27FC236}">
                <a16:creationId xmlns:a16="http://schemas.microsoft.com/office/drawing/2014/main" id="{06E611C3-C731-4563-91DB-8B85FB55CA9E}"/>
              </a:ext>
            </a:extLst>
          </xdr:cNvPr>
          <xdr:cNvCxnSpPr/>
        </xdr:nvCxnSpPr>
        <xdr:spPr>
          <a:xfrm>
            <a:off x="4205291" y="4402931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8" name="Straight Connector 1677">
            <a:extLst>
              <a:ext uri="{FF2B5EF4-FFF2-40B4-BE49-F238E27FC236}">
                <a16:creationId xmlns:a16="http://schemas.microsoft.com/office/drawing/2014/main" id="{929D8185-D75E-412B-ADFF-F45F6D04C2D1}"/>
              </a:ext>
            </a:extLst>
          </xdr:cNvPr>
          <xdr:cNvCxnSpPr/>
        </xdr:nvCxnSpPr>
        <xdr:spPr>
          <a:xfrm flipH="1">
            <a:off x="4162427" y="4405788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9" name="Straight Connector 1678">
            <a:extLst>
              <a:ext uri="{FF2B5EF4-FFF2-40B4-BE49-F238E27FC236}">
                <a16:creationId xmlns:a16="http://schemas.microsoft.com/office/drawing/2014/main" id="{4FC7670A-8EE9-4DE1-AF50-996968E718CF}"/>
              </a:ext>
            </a:extLst>
          </xdr:cNvPr>
          <xdr:cNvCxnSpPr/>
        </xdr:nvCxnSpPr>
        <xdr:spPr>
          <a:xfrm flipV="1">
            <a:off x="4371975" y="43743562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0" name="Straight Connector 1679">
            <a:extLst>
              <a:ext uri="{FF2B5EF4-FFF2-40B4-BE49-F238E27FC236}">
                <a16:creationId xmlns:a16="http://schemas.microsoft.com/office/drawing/2014/main" id="{2D74CDA1-5AC7-49FB-99D7-DD066D029477}"/>
              </a:ext>
            </a:extLst>
          </xdr:cNvPr>
          <xdr:cNvCxnSpPr/>
        </xdr:nvCxnSpPr>
        <xdr:spPr>
          <a:xfrm flipH="1">
            <a:off x="4329113" y="440578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1" name="Straight Connector 1680">
            <a:extLst>
              <a:ext uri="{FF2B5EF4-FFF2-40B4-BE49-F238E27FC236}">
                <a16:creationId xmlns:a16="http://schemas.microsoft.com/office/drawing/2014/main" id="{94E447E8-16DE-4A2D-A556-14F1A657B4A3}"/>
              </a:ext>
            </a:extLst>
          </xdr:cNvPr>
          <xdr:cNvCxnSpPr/>
        </xdr:nvCxnSpPr>
        <xdr:spPr>
          <a:xfrm>
            <a:off x="1057275" y="4381500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2" name="Straight Connector 1681">
            <a:extLst>
              <a:ext uri="{FF2B5EF4-FFF2-40B4-BE49-F238E27FC236}">
                <a16:creationId xmlns:a16="http://schemas.microsoft.com/office/drawing/2014/main" id="{A30C576C-D654-4E13-85D1-8D828B7F7BAB}"/>
              </a:ext>
            </a:extLst>
          </xdr:cNvPr>
          <xdr:cNvCxnSpPr/>
        </xdr:nvCxnSpPr>
        <xdr:spPr>
          <a:xfrm flipH="1">
            <a:off x="1085850" y="437769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3" name="Straight Connector 1682">
            <a:extLst>
              <a:ext uri="{FF2B5EF4-FFF2-40B4-BE49-F238E27FC236}">
                <a16:creationId xmlns:a16="http://schemas.microsoft.com/office/drawing/2014/main" id="{1EDBFF79-7121-4B75-BDCB-C760A154D0DF}"/>
              </a:ext>
            </a:extLst>
          </xdr:cNvPr>
          <xdr:cNvCxnSpPr/>
        </xdr:nvCxnSpPr>
        <xdr:spPr>
          <a:xfrm flipH="1">
            <a:off x="4324350" y="437721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4" name="Straight Connector 1683">
            <a:extLst>
              <a:ext uri="{FF2B5EF4-FFF2-40B4-BE49-F238E27FC236}">
                <a16:creationId xmlns:a16="http://schemas.microsoft.com/office/drawing/2014/main" id="{BD577F5B-4316-4F9D-B0A6-4F417D7EEF11}"/>
              </a:ext>
            </a:extLst>
          </xdr:cNvPr>
          <xdr:cNvCxnSpPr/>
        </xdr:nvCxnSpPr>
        <xdr:spPr>
          <a:xfrm flipH="1">
            <a:off x="2705101" y="4377213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5" name="Straight Connector 1684">
            <a:extLst>
              <a:ext uri="{FF2B5EF4-FFF2-40B4-BE49-F238E27FC236}">
                <a16:creationId xmlns:a16="http://schemas.microsoft.com/office/drawing/2014/main" id="{10AD1B51-549D-4F14-BE83-F2D128CB68B3}"/>
              </a:ext>
            </a:extLst>
          </xdr:cNvPr>
          <xdr:cNvCxnSpPr/>
        </xdr:nvCxnSpPr>
        <xdr:spPr>
          <a:xfrm flipH="1">
            <a:off x="2705101" y="440626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6" name="Straight Connector 1685">
            <a:extLst>
              <a:ext uri="{FF2B5EF4-FFF2-40B4-BE49-F238E27FC236}">
                <a16:creationId xmlns:a16="http://schemas.microsoft.com/office/drawing/2014/main" id="{F427428C-5AFC-42F8-9A40-00BE2430885C}"/>
              </a:ext>
            </a:extLst>
          </xdr:cNvPr>
          <xdr:cNvCxnSpPr/>
        </xdr:nvCxnSpPr>
        <xdr:spPr>
          <a:xfrm flipH="1">
            <a:off x="409575" y="4438650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7" name="Straight Connector 1686">
            <a:extLst>
              <a:ext uri="{FF2B5EF4-FFF2-40B4-BE49-F238E27FC236}">
                <a16:creationId xmlns:a16="http://schemas.microsoft.com/office/drawing/2014/main" id="{E4E29B78-C33C-4251-8F18-71FD0CB94CC9}"/>
              </a:ext>
            </a:extLst>
          </xdr:cNvPr>
          <xdr:cNvCxnSpPr/>
        </xdr:nvCxnSpPr>
        <xdr:spPr>
          <a:xfrm>
            <a:off x="809626" y="44319825"/>
            <a:ext cx="0" cy="3733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8" name="Straight Connector 1687">
            <a:extLst>
              <a:ext uri="{FF2B5EF4-FFF2-40B4-BE49-F238E27FC236}">
                <a16:creationId xmlns:a16="http://schemas.microsoft.com/office/drawing/2014/main" id="{5150838E-5065-421D-B69D-57F575C62E8E}"/>
              </a:ext>
            </a:extLst>
          </xdr:cNvPr>
          <xdr:cNvCxnSpPr/>
        </xdr:nvCxnSpPr>
        <xdr:spPr>
          <a:xfrm flipH="1">
            <a:off x="766763" y="4434840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9" name="Straight Connector 1688">
            <a:extLst>
              <a:ext uri="{FF2B5EF4-FFF2-40B4-BE49-F238E27FC236}">
                <a16:creationId xmlns:a16="http://schemas.microsoft.com/office/drawing/2014/main" id="{E67A5E0A-7C37-4862-BB13-C70FE3C321EB}"/>
              </a:ext>
            </a:extLst>
          </xdr:cNvPr>
          <xdr:cNvCxnSpPr/>
        </xdr:nvCxnSpPr>
        <xdr:spPr>
          <a:xfrm flipH="1">
            <a:off x="723900" y="4498180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0" name="Straight Connector 1689">
            <a:extLst>
              <a:ext uri="{FF2B5EF4-FFF2-40B4-BE49-F238E27FC236}">
                <a16:creationId xmlns:a16="http://schemas.microsoft.com/office/drawing/2014/main" id="{3C22524F-EB6C-4243-A8F5-1B8B0DC5C507}"/>
              </a:ext>
            </a:extLst>
          </xdr:cNvPr>
          <xdr:cNvCxnSpPr/>
        </xdr:nvCxnSpPr>
        <xdr:spPr>
          <a:xfrm flipH="1">
            <a:off x="762000" y="4494370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1" name="Straight Connector 1690">
            <a:extLst>
              <a:ext uri="{FF2B5EF4-FFF2-40B4-BE49-F238E27FC236}">
                <a16:creationId xmlns:a16="http://schemas.microsoft.com/office/drawing/2014/main" id="{F1D6B4FC-10EA-4070-8996-70992B9F9BF5}"/>
              </a:ext>
            </a:extLst>
          </xdr:cNvPr>
          <xdr:cNvCxnSpPr/>
        </xdr:nvCxnSpPr>
        <xdr:spPr>
          <a:xfrm flipH="1">
            <a:off x="723900" y="4606289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2" name="Straight Connector 1691">
            <a:extLst>
              <a:ext uri="{FF2B5EF4-FFF2-40B4-BE49-F238E27FC236}">
                <a16:creationId xmlns:a16="http://schemas.microsoft.com/office/drawing/2014/main" id="{14A0F7B3-9DC0-4AE8-929B-1AC537C35976}"/>
              </a:ext>
            </a:extLst>
          </xdr:cNvPr>
          <xdr:cNvCxnSpPr/>
        </xdr:nvCxnSpPr>
        <xdr:spPr>
          <a:xfrm flipH="1">
            <a:off x="762000" y="460248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3" name="Straight Connector 1692">
            <a:extLst>
              <a:ext uri="{FF2B5EF4-FFF2-40B4-BE49-F238E27FC236}">
                <a16:creationId xmlns:a16="http://schemas.microsoft.com/office/drawing/2014/main" id="{7A32C972-161C-4197-8F6A-1A0C8234943E}"/>
              </a:ext>
            </a:extLst>
          </xdr:cNvPr>
          <xdr:cNvCxnSpPr/>
        </xdr:nvCxnSpPr>
        <xdr:spPr>
          <a:xfrm flipH="1">
            <a:off x="723900" y="4659153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4" name="Straight Connector 1693">
            <a:extLst>
              <a:ext uri="{FF2B5EF4-FFF2-40B4-BE49-F238E27FC236}">
                <a16:creationId xmlns:a16="http://schemas.microsoft.com/office/drawing/2014/main" id="{262FC136-0AF9-4A51-9383-58CC579BE071}"/>
              </a:ext>
            </a:extLst>
          </xdr:cNvPr>
          <xdr:cNvCxnSpPr/>
        </xdr:nvCxnSpPr>
        <xdr:spPr>
          <a:xfrm flipH="1">
            <a:off x="762000" y="4655343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5" name="Straight Connector 1694">
            <a:extLst>
              <a:ext uri="{FF2B5EF4-FFF2-40B4-BE49-F238E27FC236}">
                <a16:creationId xmlns:a16="http://schemas.microsoft.com/office/drawing/2014/main" id="{B781CB35-9B26-411E-8283-24FA42CA6802}"/>
              </a:ext>
            </a:extLst>
          </xdr:cNvPr>
          <xdr:cNvCxnSpPr/>
        </xdr:nvCxnSpPr>
        <xdr:spPr>
          <a:xfrm flipH="1">
            <a:off x="728663" y="47072553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6" name="Straight Connector 1695">
            <a:extLst>
              <a:ext uri="{FF2B5EF4-FFF2-40B4-BE49-F238E27FC236}">
                <a16:creationId xmlns:a16="http://schemas.microsoft.com/office/drawing/2014/main" id="{564ABD46-C24C-4386-B57D-DDCFE4C59F52}"/>
              </a:ext>
            </a:extLst>
          </xdr:cNvPr>
          <xdr:cNvCxnSpPr/>
        </xdr:nvCxnSpPr>
        <xdr:spPr>
          <a:xfrm flipH="1">
            <a:off x="766763" y="4703445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7" name="Straight Connector 1696">
            <a:extLst>
              <a:ext uri="{FF2B5EF4-FFF2-40B4-BE49-F238E27FC236}">
                <a16:creationId xmlns:a16="http://schemas.microsoft.com/office/drawing/2014/main" id="{D25F7DB2-3EA3-4C23-9A36-FB198B05059B}"/>
              </a:ext>
            </a:extLst>
          </xdr:cNvPr>
          <xdr:cNvCxnSpPr/>
        </xdr:nvCxnSpPr>
        <xdr:spPr>
          <a:xfrm flipH="1">
            <a:off x="395288" y="47958370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8" name="Straight Connector 1697">
            <a:extLst>
              <a:ext uri="{FF2B5EF4-FFF2-40B4-BE49-F238E27FC236}">
                <a16:creationId xmlns:a16="http://schemas.microsoft.com/office/drawing/2014/main" id="{FC27A1EE-63FE-406D-8089-F4CBC7C26280}"/>
              </a:ext>
            </a:extLst>
          </xdr:cNvPr>
          <xdr:cNvCxnSpPr/>
        </xdr:nvCxnSpPr>
        <xdr:spPr>
          <a:xfrm flipH="1">
            <a:off x="766764" y="4792027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9" name="Straight Connector 1698">
            <a:extLst>
              <a:ext uri="{FF2B5EF4-FFF2-40B4-BE49-F238E27FC236}">
                <a16:creationId xmlns:a16="http://schemas.microsoft.com/office/drawing/2014/main" id="{AAE44688-A9D8-40E4-B165-1DCD44D8AB79}"/>
              </a:ext>
            </a:extLst>
          </xdr:cNvPr>
          <xdr:cNvCxnSpPr/>
        </xdr:nvCxnSpPr>
        <xdr:spPr>
          <a:xfrm>
            <a:off x="485776" y="44315063"/>
            <a:ext cx="0" cy="37480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0" name="Straight Connector 1699">
            <a:extLst>
              <a:ext uri="{FF2B5EF4-FFF2-40B4-BE49-F238E27FC236}">
                <a16:creationId xmlns:a16="http://schemas.microsoft.com/office/drawing/2014/main" id="{0CE198CD-E845-409E-9FAE-8CCD6BD9F6BB}"/>
              </a:ext>
            </a:extLst>
          </xdr:cNvPr>
          <xdr:cNvCxnSpPr/>
        </xdr:nvCxnSpPr>
        <xdr:spPr>
          <a:xfrm flipH="1">
            <a:off x="442913" y="4434363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1" name="Straight Connector 1700">
            <a:extLst>
              <a:ext uri="{FF2B5EF4-FFF2-40B4-BE49-F238E27FC236}">
                <a16:creationId xmlns:a16="http://schemas.microsoft.com/office/drawing/2014/main" id="{9370A6D3-AF92-43B2-A0F8-DC3F7BFB9873}"/>
              </a:ext>
            </a:extLst>
          </xdr:cNvPr>
          <xdr:cNvCxnSpPr/>
        </xdr:nvCxnSpPr>
        <xdr:spPr>
          <a:xfrm flipH="1">
            <a:off x="442914" y="4791550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2" name="Straight Connector 1701">
            <a:extLst>
              <a:ext uri="{FF2B5EF4-FFF2-40B4-BE49-F238E27FC236}">
                <a16:creationId xmlns:a16="http://schemas.microsoft.com/office/drawing/2014/main" id="{5FEE194A-92DF-472D-A2B9-7D6434A10C85}"/>
              </a:ext>
            </a:extLst>
          </xdr:cNvPr>
          <xdr:cNvCxnSpPr/>
        </xdr:nvCxnSpPr>
        <xdr:spPr>
          <a:xfrm flipH="1">
            <a:off x="723900" y="4556759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3" name="Straight Connector 1702">
            <a:extLst>
              <a:ext uri="{FF2B5EF4-FFF2-40B4-BE49-F238E27FC236}">
                <a16:creationId xmlns:a16="http://schemas.microsoft.com/office/drawing/2014/main" id="{37264F68-19D4-47CD-8A8C-1E1B92B02CF2}"/>
              </a:ext>
            </a:extLst>
          </xdr:cNvPr>
          <xdr:cNvCxnSpPr/>
        </xdr:nvCxnSpPr>
        <xdr:spPr>
          <a:xfrm flipH="1">
            <a:off x="762000" y="455295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4" name="Straight Connector 1703">
            <a:extLst>
              <a:ext uri="{FF2B5EF4-FFF2-40B4-BE49-F238E27FC236}">
                <a16:creationId xmlns:a16="http://schemas.microsoft.com/office/drawing/2014/main" id="{9A3C096B-2994-4DEC-A8EF-3E4D61B639E8}"/>
              </a:ext>
            </a:extLst>
          </xdr:cNvPr>
          <xdr:cNvCxnSpPr/>
        </xdr:nvCxnSpPr>
        <xdr:spPr>
          <a:xfrm>
            <a:off x="4695825" y="44310300"/>
            <a:ext cx="0" cy="3743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5" name="Straight Connector 1704">
            <a:extLst>
              <a:ext uri="{FF2B5EF4-FFF2-40B4-BE49-F238E27FC236}">
                <a16:creationId xmlns:a16="http://schemas.microsoft.com/office/drawing/2014/main" id="{8DB80DC1-26AE-4704-92E1-A8ECDF5AFB2D}"/>
              </a:ext>
            </a:extLst>
          </xdr:cNvPr>
          <xdr:cNvCxnSpPr/>
        </xdr:nvCxnSpPr>
        <xdr:spPr>
          <a:xfrm>
            <a:off x="4414838" y="47958368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6" name="Straight Connector 1705">
            <a:extLst>
              <a:ext uri="{FF2B5EF4-FFF2-40B4-BE49-F238E27FC236}">
                <a16:creationId xmlns:a16="http://schemas.microsoft.com/office/drawing/2014/main" id="{B59A6B99-B51D-4446-9C58-FA8C0804A4D4}"/>
              </a:ext>
            </a:extLst>
          </xdr:cNvPr>
          <xdr:cNvCxnSpPr/>
        </xdr:nvCxnSpPr>
        <xdr:spPr>
          <a:xfrm>
            <a:off x="4410075" y="44386500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7" name="Straight Connector 1706">
            <a:extLst>
              <a:ext uri="{FF2B5EF4-FFF2-40B4-BE49-F238E27FC236}">
                <a16:creationId xmlns:a16="http://schemas.microsoft.com/office/drawing/2014/main" id="{81F7AFBE-1776-4AB8-8AB9-81C1724305C3}"/>
              </a:ext>
            </a:extLst>
          </xdr:cNvPr>
          <xdr:cNvCxnSpPr/>
        </xdr:nvCxnSpPr>
        <xdr:spPr>
          <a:xfrm flipH="1">
            <a:off x="4648200" y="4434840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8" name="Straight Connector 1707">
            <a:extLst>
              <a:ext uri="{FF2B5EF4-FFF2-40B4-BE49-F238E27FC236}">
                <a16:creationId xmlns:a16="http://schemas.microsoft.com/office/drawing/2014/main" id="{82014779-5670-4914-9835-9881418344F5}"/>
              </a:ext>
            </a:extLst>
          </xdr:cNvPr>
          <xdr:cNvCxnSpPr/>
        </xdr:nvCxnSpPr>
        <xdr:spPr>
          <a:xfrm flipH="1">
            <a:off x="4648201" y="47915505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9" name="Straight Connector 1708">
            <a:extLst>
              <a:ext uri="{FF2B5EF4-FFF2-40B4-BE49-F238E27FC236}">
                <a16:creationId xmlns:a16="http://schemas.microsoft.com/office/drawing/2014/main" id="{CC52E2A4-D3FE-4EB7-B51E-C8578E4F6C2B}"/>
              </a:ext>
            </a:extLst>
          </xdr:cNvPr>
          <xdr:cNvCxnSpPr/>
        </xdr:nvCxnSpPr>
        <xdr:spPr>
          <a:xfrm>
            <a:off x="3648075" y="45958125"/>
            <a:ext cx="11191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0" name="Straight Connector 1709">
            <a:extLst>
              <a:ext uri="{FF2B5EF4-FFF2-40B4-BE49-F238E27FC236}">
                <a16:creationId xmlns:a16="http://schemas.microsoft.com/office/drawing/2014/main" id="{A007D8C3-07F7-47AC-B508-1AF9276B5E98}"/>
              </a:ext>
            </a:extLst>
          </xdr:cNvPr>
          <xdr:cNvCxnSpPr/>
        </xdr:nvCxnSpPr>
        <xdr:spPr>
          <a:xfrm flipH="1">
            <a:off x="4652964" y="459152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1" name="Straight Connector 1710">
            <a:extLst>
              <a:ext uri="{FF2B5EF4-FFF2-40B4-BE49-F238E27FC236}">
                <a16:creationId xmlns:a16="http://schemas.microsoft.com/office/drawing/2014/main" id="{4F1FD247-1ED4-47EE-9142-221306BB5082}"/>
              </a:ext>
            </a:extLst>
          </xdr:cNvPr>
          <xdr:cNvCxnSpPr/>
        </xdr:nvCxnSpPr>
        <xdr:spPr>
          <a:xfrm>
            <a:off x="3238500" y="45748575"/>
            <a:ext cx="0" cy="22812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2" name="Straight Connector 1711">
            <a:extLst>
              <a:ext uri="{FF2B5EF4-FFF2-40B4-BE49-F238E27FC236}">
                <a16:creationId xmlns:a16="http://schemas.microsoft.com/office/drawing/2014/main" id="{60C400AB-266D-48B6-8000-3EF5B600FB87}"/>
              </a:ext>
            </a:extLst>
          </xdr:cNvPr>
          <xdr:cNvCxnSpPr/>
        </xdr:nvCxnSpPr>
        <xdr:spPr>
          <a:xfrm>
            <a:off x="1138238" y="46067663"/>
            <a:ext cx="1614487" cy="991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3" name="Straight Connector 1712">
            <a:extLst>
              <a:ext uri="{FF2B5EF4-FFF2-40B4-BE49-F238E27FC236}">
                <a16:creationId xmlns:a16="http://schemas.microsoft.com/office/drawing/2014/main" id="{1413A411-5D83-4C83-A683-4C2677065EBA}"/>
              </a:ext>
            </a:extLst>
          </xdr:cNvPr>
          <xdr:cNvCxnSpPr/>
        </xdr:nvCxnSpPr>
        <xdr:spPr>
          <a:xfrm flipH="1">
            <a:off x="3186112" y="4576762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4" name="Straight Connector 1713">
            <a:extLst>
              <a:ext uri="{FF2B5EF4-FFF2-40B4-BE49-F238E27FC236}">
                <a16:creationId xmlns:a16="http://schemas.microsoft.com/office/drawing/2014/main" id="{1C4DE988-092B-4391-840F-5359946637A0}"/>
              </a:ext>
            </a:extLst>
          </xdr:cNvPr>
          <xdr:cNvCxnSpPr/>
        </xdr:nvCxnSpPr>
        <xdr:spPr>
          <a:xfrm flipH="1">
            <a:off x="2614613" y="45524738"/>
            <a:ext cx="2095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5" name="Straight Connector 1714">
            <a:extLst>
              <a:ext uri="{FF2B5EF4-FFF2-40B4-BE49-F238E27FC236}">
                <a16:creationId xmlns:a16="http://schemas.microsoft.com/office/drawing/2014/main" id="{5677878F-6F4E-4D90-9669-93552C7AF39A}"/>
              </a:ext>
            </a:extLst>
          </xdr:cNvPr>
          <xdr:cNvCxnSpPr/>
        </xdr:nvCxnSpPr>
        <xdr:spPr>
          <a:xfrm>
            <a:off x="2686059" y="45429484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6" name="Straight Connector 1715">
            <a:extLst>
              <a:ext uri="{FF2B5EF4-FFF2-40B4-BE49-F238E27FC236}">
                <a16:creationId xmlns:a16="http://schemas.microsoft.com/office/drawing/2014/main" id="{404D5228-814D-4327-A82A-B4CD99811D67}"/>
              </a:ext>
            </a:extLst>
          </xdr:cNvPr>
          <xdr:cNvCxnSpPr/>
        </xdr:nvCxnSpPr>
        <xdr:spPr>
          <a:xfrm flipH="1">
            <a:off x="2633672" y="45481872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7" name="Straight Connector 1716">
            <a:extLst>
              <a:ext uri="{FF2B5EF4-FFF2-40B4-BE49-F238E27FC236}">
                <a16:creationId xmlns:a16="http://schemas.microsoft.com/office/drawing/2014/main" id="{1A45B9FA-4621-49B2-B1BB-0C71801DEED8}"/>
              </a:ext>
            </a:extLst>
          </xdr:cNvPr>
          <xdr:cNvCxnSpPr/>
        </xdr:nvCxnSpPr>
        <xdr:spPr>
          <a:xfrm flipH="1">
            <a:off x="2700338" y="45481875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8" name="Straight Connector 1717">
            <a:extLst>
              <a:ext uri="{FF2B5EF4-FFF2-40B4-BE49-F238E27FC236}">
                <a16:creationId xmlns:a16="http://schemas.microsoft.com/office/drawing/2014/main" id="{F87561B9-1376-4840-B0B4-2C817A088506}"/>
              </a:ext>
            </a:extLst>
          </xdr:cNvPr>
          <xdr:cNvCxnSpPr/>
        </xdr:nvCxnSpPr>
        <xdr:spPr>
          <a:xfrm flipV="1">
            <a:off x="1857375" y="45958126"/>
            <a:ext cx="0" cy="206692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9" name="Straight Connector 1718">
            <a:extLst>
              <a:ext uri="{FF2B5EF4-FFF2-40B4-BE49-F238E27FC236}">
                <a16:creationId xmlns:a16="http://schemas.microsoft.com/office/drawing/2014/main" id="{A97D478C-68FD-40E6-8819-D09AD3D03517}"/>
              </a:ext>
            </a:extLst>
          </xdr:cNvPr>
          <xdr:cNvCxnSpPr/>
        </xdr:nvCxnSpPr>
        <xdr:spPr>
          <a:xfrm flipV="1">
            <a:off x="3648075" y="45948602"/>
            <a:ext cx="0" cy="2005011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20" name="Arc 1719">
            <a:extLst>
              <a:ext uri="{FF2B5EF4-FFF2-40B4-BE49-F238E27FC236}">
                <a16:creationId xmlns:a16="http://schemas.microsoft.com/office/drawing/2014/main" id="{981DA77A-AC03-46F0-902D-15FB8D93A8B5}"/>
              </a:ext>
            </a:extLst>
          </xdr:cNvPr>
          <xdr:cNvSpPr/>
        </xdr:nvSpPr>
        <xdr:spPr>
          <a:xfrm rot="16200000">
            <a:off x="1857375" y="45081825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21" name="Straight Connector 1720">
            <a:extLst>
              <a:ext uri="{FF2B5EF4-FFF2-40B4-BE49-F238E27FC236}">
                <a16:creationId xmlns:a16="http://schemas.microsoft.com/office/drawing/2014/main" id="{C813993A-95C0-4953-A474-6924445D7037}"/>
              </a:ext>
            </a:extLst>
          </xdr:cNvPr>
          <xdr:cNvCxnSpPr/>
        </xdr:nvCxnSpPr>
        <xdr:spPr>
          <a:xfrm>
            <a:off x="1057275" y="48529875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2" name="Straight Connector 1721">
            <a:extLst>
              <a:ext uri="{FF2B5EF4-FFF2-40B4-BE49-F238E27FC236}">
                <a16:creationId xmlns:a16="http://schemas.microsoft.com/office/drawing/2014/main" id="{E95A8CF5-7E2A-490C-AC31-BED00B1BAD89}"/>
              </a:ext>
            </a:extLst>
          </xdr:cNvPr>
          <xdr:cNvCxnSpPr/>
        </xdr:nvCxnSpPr>
        <xdr:spPr>
          <a:xfrm flipH="1">
            <a:off x="1814513" y="4848701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3" name="Straight Connector 1722">
            <a:extLst>
              <a:ext uri="{FF2B5EF4-FFF2-40B4-BE49-F238E27FC236}">
                <a16:creationId xmlns:a16="http://schemas.microsoft.com/office/drawing/2014/main" id="{2ED2E50D-1EEA-4E55-B2ED-DEDDE168E23C}"/>
              </a:ext>
            </a:extLst>
          </xdr:cNvPr>
          <xdr:cNvCxnSpPr/>
        </xdr:nvCxnSpPr>
        <xdr:spPr>
          <a:xfrm flipH="1">
            <a:off x="4329114" y="4820602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4" name="Straight Connector 1723">
            <a:extLst>
              <a:ext uri="{FF2B5EF4-FFF2-40B4-BE49-F238E27FC236}">
                <a16:creationId xmlns:a16="http://schemas.microsoft.com/office/drawing/2014/main" id="{60ADA34C-0520-4895-954D-AB0162BFD125}"/>
              </a:ext>
            </a:extLst>
          </xdr:cNvPr>
          <xdr:cNvCxnSpPr/>
        </xdr:nvCxnSpPr>
        <xdr:spPr>
          <a:xfrm>
            <a:off x="2419366" y="44029313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5" name="Straight Connector 1724">
            <a:extLst>
              <a:ext uri="{FF2B5EF4-FFF2-40B4-BE49-F238E27FC236}">
                <a16:creationId xmlns:a16="http://schemas.microsoft.com/office/drawing/2014/main" id="{4EA4C7C5-961C-44A9-AD25-03817CA971E2}"/>
              </a:ext>
            </a:extLst>
          </xdr:cNvPr>
          <xdr:cNvCxnSpPr/>
        </xdr:nvCxnSpPr>
        <xdr:spPr>
          <a:xfrm flipH="1">
            <a:off x="2376505" y="440531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6" name="Straight Connector 1725">
            <a:extLst>
              <a:ext uri="{FF2B5EF4-FFF2-40B4-BE49-F238E27FC236}">
                <a16:creationId xmlns:a16="http://schemas.microsoft.com/office/drawing/2014/main" id="{FA73F996-DA07-4963-888F-43FDD23308F5}"/>
              </a:ext>
            </a:extLst>
          </xdr:cNvPr>
          <xdr:cNvCxnSpPr/>
        </xdr:nvCxnSpPr>
        <xdr:spPr>
          <a:xfrm>
            <a:off x="3076586" y="4403883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7" name="Straight Connector 1726">
            <a:extLst>
              <a:ext uri="{FF2B5EF4-FFF2-40B4-BE49-F238E27FC236}">
                <a16:creationId xmlns:a16="http://schemas.microsoft.com/office/drawing/2014/main" id="{AC1B9C85-F935-4A70-A89E-9B17BEB57047}"/>
              </a:ext>
            </a:extLst>
          </xdr:cNvPr>
          <xdr:cNvCxnSpPr/>
        </xdr:nvCxnSpPr>
        <xdr:spPr>
          <a:xfrm flipH="1">
            <a:off x="3028962" y="4406264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8" name="Straight Connector 1727">
            <a:extLst>
              <a:ext uri="{FF2B5EF4-FFF2-40B4-BE49-F238E27FC236}">
                <a16:creationId xmlns:a16="http://schemas.microsoft.com/office/drawing/2014/main" id="{9930AA86-40F9-477F-8F4C-35138A469DAE}"/>
              </a:ext>
            </a:extLst>
          </xdr:cNvPr>
          <xdr:cNvCxnSpPr/>
        </xdr:nvCxnSpPr>
        <xdr:spPr>
          <a:xfrm>
            <a:off x="1066799" y="49101374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9" name="Straight Connector 1728">
            <a:extLst>
              <a:ext uri="{FF2B5EF4-FFF2-40B4-BE49-F238E27FC236}">
                <a16:creationId xmlns:a16="http://schemas.microsoft.com/office/drawing/2014/main" id="{018749A3-AE1C-41CF-9980-30B375CCBF0E}"/>
              </a:ext>
            </a:extLst>
          </xdr:cNvPr>
          <xdr:cNvCxnSpPr/>
        </xdr:nvCxnSpPr>
        <xdr:spPr>
          <a:xfrm flipH="1">
            <a:off x="1090613" y="490632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0" name="Straight Connector 1729">
            <a:extLst>
              <a:ext uri="{FF2B5EF4-FFF2-40B4-BE49-F238E27FC236}">
                <a16:creationId xmlns:a16="http://schemas.microsoft.com/office/drawing/2014/main" id="{6890EC7B-118A-4E9C-AA1C-F587F2EDA07D}"/>
              </a:ext>
            </a:extLst>
          </xdr:cNvPr>
          <xdr:cNvCxnSpPr/>
        </xdr:nvCxnSpPr>
        <xdr:spPr>
          <a:xfrm flipH="1">
            <a:off x="4329113" y="490632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1" name="Straight Connector 1730">
            <a:extLst>
              <a:ext uri="{FF2B5EF4-FFF2-40B4-BE49-F238E27FC236}">
                <a16:creationId xmlns:a16="http://schemas.microsoft.com/office/drawing/2014/main" id="{CE65C97A-4181-4AF0-8332-A88F8799335F}"/>
              </a:ext>
            </a:extLst>
          </xdr:cNvPr>
          <xdr:cNvCxnSpPr/>
        </xdr:nvCxnSpPr>
        <xdr:spPr>
          <a:xfrm flipH="1">
            <a:off x="1090612" y="484917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2" name="Straight Connector 1731">
            <a:extLst>
              <a:ext uri="{FF2B5EF4-FFF2-40B4-BE49-F238E27FC236}">
                <a16:creationId xmlns:a16="http://schemas.microsoft.com/office/drawing/2014/main" id="{6A1F8165-63ED-420B-B408-B048A63E2B3D}"/>
              </a:ext>
            </a:extLst>
          </xdr:cNvPr>
          <xdr:cNvCxnSpPr/>
        </xdr:nvCxnSpPr>
        <xdr:spPr>
          <a:xfrm flipH="1">
            <a:off x="4329112" y="484917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3" name="Straight Connector 1732">
            <a:extLst>
              <a:ext uri="{FF2B5EF4-FFF2-40B4-BE49-F238E27FC236}">
                <a16:creationId xmlns:a16="http://schemas.microsoft.com/office/drawing/2014/main" id="{42006D1C-3E61-4977-81D7-908DFD4F0ABC}"/>
              </a:ext>
            </a:extLst>
          </xdr:cNvPr>
          <xdr:cNvCxnSpPr/>
        </xdr:nvCxnSpPr>
        <xdr:spPr>
          <a:xfrm flipH="1">
            <a:off x="2709862" y="4849177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4" name="Straight Connector 1733">
            <a:extLst>
              <a:ext uri="{FF2B5EF4-FFF2-40B4-BE49-F238E27FC236}">
                <a16:creationId xmlns:a16="http://schemas.microsoft.com/office/drawing/2014/main" id="{EFCDF60C-4CCA-4CF8-9F47-3DBC9C112E6D}"/>
              </a:ext>
            </a:extLst>
          </xdr:cNvPr>
          <xdr:cNvCxnSpPr/>
        </xdr:nvCxnSpPr>
        <xdr:spPr>
          <a:xfrm>
            <a:off x="2762250" y="461581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5" name="Straight Connector 1734">
            <a:extLst>
              <a:ext uri="{FF2B5EF4-FFF2-40B4-BE49-F238E27FC236}">
                <a16:creationId xmlns:a16="http://schemas.microsoft.com/office/drawing/2014/main" id="{56A9C533-1C82-42C8-BC8B-9AF79986ED4B}"/>
              </a:ext>
            </a:extLst>
          </xdr:cNvPr>
          <xdr:cNvCxnSpPr/>
        </xdr:nvCxnSpPr>
        <xdr:spPr>
          <a:xfrm>
            <a:off x="2938462" y="45815250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36" name="Oval 1735">
            <a:extLst>
              <a:ext uri="{FF2B5EF4-FFF2-40B4-BE49-F238E27FC236}">
                <a16:creationId xmlns:a16="http://schemas.microsoft.com/office/drawing/2014/main" id="{356B32BF-2EA1-470C-B283-6EF2EAEF3896}"/>
              </a:ext>
            </a:extLst>
          </xdr:cNvPr>
          <xdr:cNvSpPr/>
        </xdr:nvSpPr>
        <xdr:spPr>
          <a:xfrm>
            <a:off x="2729866" y="4593050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37" name="Straight Connector 1736">
            <a:extLst>
              <a:ext uri="{FF2B5EF4-FFF2-40B4-BE49-F238E27FC236}">
                <a16:creationId xmlns:a16="http://schemas.microsoft.com/office/drawing/2014/main" id="{CEF081B0-C8A4-438F-9368-B88AC1ECBE15}"/>
              </a:ext>
            </a:extLst>
          </xdr:cNvPr>
          <xdr:cNvCxnSpPr/>
        </xdr:nvCxnSpPr>
        <xdr:spPr>
          <a:xfrm>
            <a:off x="2195513" y="45958125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8" name="Straight Connector 1737">
            <a:extLst>
              <a:ext uri="{FF2B5EF4-FFF2-40B4-BE49-F238E27FC236}">
                <a16:creationId xmlns:a16="http://schemas.microsoft.com/office/drawing/2014/main" id="{43C088AC-BE1A-4E74-8CEA-39E3CCF5B65B}"/>
              </a:ext>
            </a:extLst>
          </xdr:cNvPr>
          <xdr:cNvCxnSpPr/>
        </xdr:nvCxnSpPr>
        <xdr:spPr>
          <a:xfrm flipV="1">
            <a:off x="2266950" y="45758100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9" name="Straight Connector 1738">
            <a:extLst>
              <a:ext uri="{FF2B5EF4-FFF2-40B4-BE49-F238E27FC236}">
                <a16:creationId xmlns:a16="http://schemas.microsoft.com/office/drawing/2014/main" id="{FB8163D5-7089-42CA-87B1-F766F409A1C3}"/>
              </a:ext>
            </a:extLst>
          </xdr:cNvPr>
          <xdr:cNvCxnSpPr/>
        </xdr:nvCxnSpPr>
        <xdr:spPr>
          <a:xfrm flipH="1">
            <a:off x="2190750" y="45815250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0" name="Straight Connector 1739">
            <a:extLst>
              <a:ext uri="{FF2B5EF4-FFF2-40B4-BE49-F238E27FC236}">
                <a16:creationId xmlns:a16="http://schemas.microsoft.com/office/drawing/2014/main" id="{71031357-A657-4F66-AD24-B476B743D831}"/>
              </a:ext>
            </a:extLst>
          </xdr:cNvPr>
          <xdr:cNvCxnSpPr/>
        </xdr:nvCxnSpPr>
        <xdr:spPr>
          <a:xfrm flipH="1">
            <a:off x="2224088" y="45781913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1" name="Straight Connector 1740">
            <a:extLst>
              <a:ext uri="{FF2B5EF4-FFF2-40B4-BE49-F238E27FC236}">
                <a16:creationId xmlns:a16="http://schemas.microsoft.com/office/drawing/2014/main" id="{D2DD3998-C437-4DED-971C-41405FFBFE0B}"/>
              </a:ext>
            </a:extLst>
          </xdr:cNvPr>
          <xdr:cNvCxnSpPr/>
        </xdr:nvCxnSpPr>
        <xdr:spPr>
          <a:xfrm flipH="1">
            <a:off x="2228850" y="45920025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2" name="Straight Connector 1741">
            <a:extLst>
              <a:ext uri="{FF2B5EF4-FFF2-40B4-BE49-F238E27FC236}">
                <a16:creationId xmlns:a16="http://schemas.microsoft.com/office/drawing/2014/main" id="{3E35A9AB-7AB6-4F2B-BEC1-2E582379F10B}"/>
              </a:ext>
            </a:extLst>
          </xdr:cNvPr>
          <xdr:cNvCxnSpPr/>
        </xdr:nvCxnSpPr>
        <xdr:spPr>
          <a:xfrm flipH="1">
            <a:off x="3190874" y="461152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3" name="Straight Connector 1742">
            <a:extLst>
              <a:ext uri="{FF2B5EF4-FFF2-40B4-BE49-F238E27FC236}">
                <a16:creationId xmlns:a16="http://schemas.microsoft.com/office/drawing/2014/main" id="{8260FE3C-2A41-46C6-931B-9C76755FAB7F}"/>
              </a:ext>
            </a:extLst>
          </xdr:cNvPr>
          <xdr:cNvCxnSpPr/>
        </xdr:nvCxnSpPr>
        <xdr:spPr>
          <a:xfrm>
            <a:off x="2767012" y="4637722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4" name="Straight Connector 1743">
            <a:extLst>
              <a:ext uri="{FF2B5EF4-FFF2-40B4-BE49-F238E27FC236}">
                <a16:creationId xmlns:a16="http://schemas.microsoft.com/office/drawing/2014/main" id="{2BB76083-367B-4D03-A7A0-556738B51F10}"/>
              </a:ext>
            </a:extLst>
          </xdr:cNvPr>
          <xdr:cNvCxnSpPr/>
        </xdr:nvCxnSpPr>
        <xdr:spPr>
          <a:xfrm flipH="1">
            <a:off x="3195636" y="4633436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5" name="Straight Connector 1744">
            <a:extLst>
              <a:ext uri="{FF2B5EF4-FFF2-40B4-BE49-F238E27FC236}">
                <a16:creationId xmlns:a16="http://schemas.microsoft.com/office/drawing/2014/main" id="{C66A38CE-C955-4CD5-9984-DEFB3EF5A2F0}"/>
              </a:ext>
            </a:extLst>
          </xdr:cNvPr>
          <xdr:cNvCxnSpPr/>
        </xdr:nvCxnSpPr>
        <xdr:spPr>
          <a:xfrm>
            <a:off x="2762249" y="466867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6" name="Straight Connector 1745">
            <a:extLst>
              <a:ext uri="{FF2B5EF4-FFF2-40B4-BE49-F238E27FC236}">
                <a16:creationId xmlns:a16="http://schemas.microsoft.com/office/drawing/2014/main" id="{CBF7D81E-26CA-4CBB-8364-7776414535B6}"/>
              </a:ext>
            </a:extLst>
          </xdr:cNvPr>
          <xdr:cNvCxnSpPr/>
        </xdr:nvCxnSpPr>
        <xdr:spPr>
          <a:xfrm flipH="1">
            <a:off x="3190873" y="466439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7" name="Straight Connector 1746">
            <a:extLst>
              <a:ext uri="{FF2B5EF4-FFF2-40B4-BE49-F238E27FC236}">
                <a16:creationId xmlns:a16="http://schemas.microsoft.com/office/drawing/2014/main" id="{39B1F555-B1B0-492B-A92D-AA5A9DDC710F}"/>
              </a:ext>
            </a:extLst>
          </xdr:cNvPr>
          <xdr:cNvCxnSpPr/>
        </xdr:nvCxnSpPr>
        <xdr:spPr>
          <a:xfrm>
            <a:off x="2762248" y="470677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8" name="Straight Connector 1747">
            <a:extLst>
              <a:ext uri="{FF2B5EF4-FFF2-40B4-BE49-F238E27FC236}">
                <a16:creationId xmlns:a16="http://schemas.microsoft.com/office/drawing/2014/main" id="{E17D9FF1-44CC-49ED-905D-25043CC6FD76}"/>
              </a:ext>
            </a:extLst>
          </xdr:cNvPr>
          <xdr:cNvCxnSpPr/>
        </xdr:nvCxnSpPr>
        <xdr:spPr>
          <a:xfrm flipH="1">
            <a:off x="3190872" y="470249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9" name="Straight Connector 1748">
            <a:extLst>
              <a:ext uri="{FF2B5EF4-FFF2-40B4-BE49-F238E27FC236}">
                <a16:creationId xmlns:a16="http://schemas.microsoft.com/office/drawing/2014/main" id="{788E77CC-0AE9-4DFE-BF16-4A4271F61489}"/>
              </a:ext>
            </a:extLst>
          </xdr:cNvPr>
          <xdr:cNvCxnSpPr/>
        </xdr:nvCxnSpPr>
        <xdr:spPr>
          <a:xfrm>
            <a:off x="2767010" y="4728209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0" name="Straight Connector 1749">
            <a:extLst>
              <a:ext uri="{FF2B5EF4-FFF2-40B4-BE49-F238E27FC236}">
                <a16:creationId xmlns:a16="http://schemas.microsoft.com/office/drawing/2014/main" id="{79E63604-150A-4E12-B746-2F7599011D2A}"/>
              </a:ext>
            </a:extLst>
          </xdr:cNvPr>
          <xdr:cNvCxnSpPr/>
        </xdr:nvCxnSpPr>
        <xdr:spPr>
          <a:xfrm flipH="1">
            <a:off x="3195634" y="4723923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1" name="Straight Connector 1750">
            <a:extLst>
              <a:ext uri="{FF2B5EF4-FFF2-40B4-BE49-F238E27FC236}">
                <a16:creationId xmlns:a16="http://schemas.microsoft.com/office/drawing/2014/main" id="{D0BF197D-46E1-406B-88C4-F867A537A000}"/>
              </a:ext>
            </a:extLst>
          </xdr:cNvPr>
          <xdr:cNvCxnSpPr/>
        </xdr:nvCxnSpPr>
        <xdr:spPr>
          <a:xfrm>
            <a:off x="2762248" y="4682013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2" name="Straight Connector 1751">
            <a:extLst>
              <a:ext uri="{FF2B5EF4-FFF2-40B4-BE49-F238E27FC236}">
                <a16:creationId xmlns:a16="http://schemas.microsoft.com/office/drawing/2014/main" id="{D9541571-379D-45D8-A4EC-B666E34AC8C9}"/>
              </a:ext>
            </a:extLst>
          </xdr:cNvPr>
          <xdr:cNvCxnSpPr/>
        </xdr:nvCxnSpPr>
        <xdr:spPr>
          <a:xfrm flipH="1">
            <a:off x="3190872" y="467772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3" name="Straight Connector 1752">
            <a:extLst>
              <a:ext uri="{FF2B5EF4-FFF2-40B4-BE49-F238E27FC236}">
                <a16:creationId xmlns:a16="http://schemas.microsoft.com/office/drawing/2014/main" id="{3DB6634C-C3BC-44C6-BC29-94A50A3F5DD8}"/>
              </a:ext>
            </a:extLst>
          </xdr:cNvPr>
          <xdr:cNvCxnSpPr/>
        </xdr:nvCxnSpPr>
        <xdr:spPr>
          <a:xfrm>
            <a:off x="2762248" y="4652962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4" name="Straight Connector 1753">
            <a:extLst>
              <a:ext uri="{FF2B5EF4-FFF2-40B4-BE49-F238E27FC236}">
                <a16:creationId xmlns:a16="http://schemas.microsoft.com/office/drawing/2014/main" id="{556486FF-579F-4D89-84E8-9E636598D7A9}"/>
              </a:ext>
            </a:extLst>
          </xdr:cNvPr>
          <xdr:cNvCxnSpPr/>
        </xdr:nvCxnSpPr>
        <xdr:spPr>
          <a:xfrm flipH="1">
            <a:off x="3190872" y="4648676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55" name="Oval 1754">
            <a:extLst>
              <a:ext uri="{FF2B5EF4-FFF2-40B4-BE49-F238E27FC236}">
                <a16:creationId xmlns:a16="http://schemas.microsoft.com/office/drawing/2014/main" id="{4D41C796-BD2A-4183-985A-CE0750FC61BB}"/>
              </a:ext>
            </a:extLst>
          </xdr:cNvPr>
          <xdr:cNvSpPr/>
        </xdr:nvSpPr>
        <xdr:spPr>
          <a:xfrm>
            <a:off x="1833563" y="45929550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56" name="Oval 1755">
            <a:extLst>
              <a:ext uri="{FF2B5EF4-FFF2-40B4-BE49-F238E27FC236}">
                <a16:creationId xmlns:a16="http://schemas.microsoft.com/office/drawing/2014/main" id="{4D6988AB-0776-4E4B-847B-B56198807BF2}"/>
              </a:ext>
            </a:extLst>
          </xdr:cNvPr>
          <xdr:cNvSpPr/>
        </xdr:nvSpPr>
        <xdr:spPr>
          <a:xfrm>
            <a:off x="3624263" y="4593431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57" name="Straight Connector 1756">
            <a:extLst>
              <a:ext uri="{FF2B5EF4-FFF2-40B4-BE49-F238E27FC236}">
                <a16:creationId xmlns:a16="http://schemas.microsoft.com/office/drawing/2014/main" id="{7C7E9F78-0EEC-47E4-9AF7-00FAA9FA45C8}"/>
              </a:ext>
            </a:extLst>
          </xdr:cNvPr>
          <xdr:cNvCxnSpPr/>
        </xdr:nvCxnSpPr>
        <xdr:spPr>
          <a:xfrm>
            <a:off x="4781550" y="4581525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8" name="Straight Connector 1757">
            <a:extLst>
              <a:ext uri="{FF2B5EF4-FFF2-40B4-BE49-F238E27FC236}">
                <a16:creationId xmlns:a16="http://schemas.microsoft.com/office/drawing/2014/main" id="{A1EE6CD8-6E63-4F33-8C26-E2CE1903AA11}"/>
              </a:ext>
            </a:extLst>
          </xdr:cNvPr>
          <xdr:cNvCxnSpPr/>
        </xdr:nvCxnSpPr>
        <xdr:spPr>
          <a:xfrm>
            <a:off x="5019675" y="44310300"/>
            <a:ext cx="0" cy="3752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9" name="Straight Connector 1758">
            <a:extLst>
              <a:ext uri="{FF2B5EF4-FFF2-40B4-BE49-F238E27FC236}">
                <a16:creationId xmlns:a16="http://schemas.microsoft.com/office/drawing/2014/main" id="{4173A6F5-B98C-4861-9D3B-D87E93A43417}"/>
              </a:ext>
            </a:extLst>
          </xdr:cNvPr>
          <xdr:cNvCxnSpPr/>
        </xdr:nvCxnSpPr>
        <xdr:spPr>
          <a:xfrm flipH="1">
            <a:off x="4981576" y="47910743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0" name="Straight Connector 1759">
            <a:extLst>
              <a:ext uri="{FF2B5EF4-FFF2-40B4-BE49-F238E27FC236}">
                <a16:creationId xmlns:a16="http://schemas.microsoft.com/office/drawing/2014/main" id="{B66A169F-072F-4EAC-8C2D-289D751E8ECA}"/>
              </a:ext>
            </a:extLst>
          </xdr:cNvPr>
          <xdr:cNvCxnSpPr/>
        </xdr:nvCxnSpPr>
        <xdr:spPr>
          <a:xfrm flipH="1">
            <a:off x="4976814" y="4577238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1" name="Straight Connector 1760">
            <a:extLst>
              <a:ext uri="{FF2B5EF4-FFF2-40B4-BE49-F238E27FC236}">
                <a16:creationId xmlns:a16="http://schemas.microsoft.com/office/drawing/2014/main" id="{0FE7C226-1164-4825-BC73-CE0A263F76C7}"/>
              </a:ext>
            </a:extLst>
          </xdr:cNvPr>
          <xdr:cNvCxnSpPr/>
        </xdr:nvCxnSpPr>
        <xdr:spPr>
          <a:xfrm>
            <a:off x="3509962" y="45815250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2" name="Straight Connector 1761">
            <a:extLst>
              <a:ext uri="{FF2B5EF4-FFF2-40B4-BE49-F238E27FC236}">
                <a16:creationId xmlns:a16="http://schemas.microsoft.com/office/drawing/2014/main" id="{ACA77456-D983-415D-B713-156AFE42209E}"/>
              </a:ext>
            </a:extLst>
          </xdr:cNvPr>
          <xdr:cNvCxnSpPr/>
        </xdr:nvCxnSpPr>
        <xdr:spPr>
          <a:xfrm>
            <a:off x="4419600" y="45815250"/>
            <a:ext cx="219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3" name="Straight Connector 1762">
            <a:extLst>
              <a:ext uri="{FF2B5EF4-FFF2-40B4-BE49-F238E27FC236}">
                <a16:creationId xmlns:a16="http://schemas.microsoft.com/office/drawing/2014/main" id="{4521FB74-4B3C-4CA6-820A-1E37FB0B8616}"/>
              </a:ext>
            </a:extLst>
          </xdr:cNvPr>
          <xdr:cNvCxnSpPr/>
        </xdr:nvCxnSpPr>
        <xdr:spPr>
          <a:xfrm>
            <a:off x="2757485" y="4746307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4" name="Straight Connector 1763">
            <a:extLst>
              <a:ext uri="{FF2B5EF4-FFF2-40B4-BE49-F238E27FC236}">
                <a16:creationId xmlns:a16="http://schemas.microsoft.com/office/drawing/2014/main" id="{36C31146-6473-451C-9588-285C380ED136}"/>
              </a:ext>
            </a:extLst>
          </xdr:cNvPr>
          <xdr:cNvCxnSpPr/>
        </xdr:nvCxnSpPr>
        <xdr:spPr>
          <a:xfrm flipH="1">
            <a:off x="3186109" y="4742021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5" name="Straight Connector 1764">
            <a:extLst>
              <a:ext uri="{FF2B5EF4-FFF2-40B4-BE49-F238E27FC236}">
                <a16:creationId xmlns:a16="http://schemas.microsoft.com/office/drawing/2014/main" id="{A9D640DE-C49F-4545-BB05-631EF71849C2}"/>
              </a:ext>
            </a:extLst>
          </xdr:cNvPr>
          <xdr:cNvCxnSpPr/>
        </xdr:nvCxnSpPr>
        <xdr:spPr>
          <a:xfrm>
            <a:off x="1924066" y="44034076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6" name="Straight Connector 1765">
            <a:extLst>
              <a:ext uri="{FF2B5EF4-FFF2-40B4-BE49-F238E27FC236}">
                <a16:creationId xmlns:a16="http://schemas.microsoft.com/office/drawing/2014/main" id="{8164A797-DD06-4835-8869-D0051D1E1462}"/>
              </a:ext>
            </a:extLst>
          </xdr:cNvPr>
          <xdr:cNvCxnSpPr/>
        </xdr:nvCxnSpPr>
        <xdr:spPr>
          <a:xfrm flipH="1">
            <a:off x="1881205" y="440578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7" name="Straight Connector 1766">
            <a:extLst>
              <a:ext uri="{FF2B5EF4-FFF2-40B4-BE49-F238E27FC236}">
                <a16:creationId xmlns:a16="http://schemas.microsoft.com/office/drawing/2014/main" id="{20F37801-4260-48BD-8D49-C65E94FD9CE4}"/>
              </a:ext>
            </a:extLst>
          </xdr:cNvPr>
          <xdr:cNvCxnSpPr/>
        </xdr:nvCxnSpPr>
        <xdr:spPr>
          <a:xfrm>
            <a:off x="3571878" y="4403407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8" name="Straight Connector 1767">
            <a:extLst>
              <a:ext uri="{FF2B5EF4-FFF2-40B4-BE49-F238E27FC236}">
                <a16:creationId xmlns:a16="http://schemas.microsoft.com/office/drawing/2014/main" id="{7AEF950E-52B2-4BD4-AD62-C9545248DE7E}"/>
              </a:ext>
            </a:extLst>
          </xdr:cNvPr>
          <xdr:cNvCxnSpPr/>
        </xdr:nvCxnSpPr>
        <xdr:spPr>
          <a:xfrm flipH="1">
            <a:off x="3529016" y="440578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9" name="Straight Connector 1768">
            <a:extLst>
              <a:ext uri="{FF2B5EF4-FFF2-40B4-BE49-F238E27FC236}">
                <a16:creationId xmlns:a16="http://schemas.microsoft.com/office/drawing/2014/main" id="{941E65D5-0ED8-4E9E-83E3-901BD3707FEF}"/>
              </a:ext>
            </a:extLst>
          </xdr:cNvPr>
          <xdr:cNvCxnSpPr/>
        </xdr:nvCxnSpPr>
        <xdr:spPr>
          <a:xfrm flipH="1">
            <a:off x="4976813" y="4433887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6" name="Straight Connector 1785">
            <a:extLst>
              <a:ext uri="{FF2B5EF4-FFF2-40B4-BE49-F238E27FC236}">
                <a16:creationId xmlns:a16="http://schemas.microsoft.com/office/drawing/2014/main" id="{18495631-518D-4C12-A485-5F2DEDEC1203}"/>
              </a:ext>
            </a:extLst>
          </xdr:cNvPr>
          <xdr:cNvCxnSpPr/>
        </xdr:nvCxnSpPr>
        <xdr:spPr>
          <a:xfrm>
            <a:off x="2767012" y="47744063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7" name="Straight Connector 1786">
            <a:extLst>
              <a:ext uri="{FF2B5EF4-FFF2-40B4-BE49-F238E27FC236}">
                <a16:creationId xmlns:a16="http://schemas.microsoft.com/office/drawing/2014/main" id="{F4458FC7-E697-49D1-95B8-2A10E19C1233}"/>
              </a:ext>
            </a:extLst>
          </xdr:cNvPr>
          <xdr:cNvCxnSpPr/>
        </xdr:nvCxnSpPr>
        <xdr:spPr>
          <a:xfrm flipH="1">
            <a:off x="3190883" y="47920279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8" name="Straight Connector 1787">
            <a:extLst>
              <a:ext uri="{FF2B5EF4-FFF2-40B4-BE49-F238E27FC236}">
                <a16:creationId xmlns:a16="http://schemas.microsoft.com/office/drawing/2014/main" id="{E5F4C36C-9DAD-40CC-B867-A3E554B3A081}"/>
              </a:ext>
            </a:extLst>
          </xdr:cNvPr>
          <xdr:cNvCxnSpPr/>
        </xdr:nvCxnSpPr>
        <xdr:spPr>
          <a:xfrm>
            <a:off x="1133475" y="47496413"/>
            <a:ext cx="1624013" cy="2476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9" name="Straight Connector 1788">
            <a:extLst>
              <a:ext uri="{FF2B5EF4-FFF2-40B4-BE49-F238E27FC236}">
                <a16:creationId xmlns:a16="http://schemas.microsoft.com/office/drawing/2014/main" id="{428B8CC5-F844-4FFE-B500-7B37315E4B75}"/>
              </a:ext>
            </a:extLst>
          </xdr:cNvPr>
          <xdr:cNvCxnSpPr/>
        </xdr:nvCxnSpPr>
        <xdr:spPr>
          <a:xfrm flipV="1">
            <a:off x="2762250" y="47491650"/>
            <a:ext cx="1619250" cy="25342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0" name="Straight Connector 1789">
            <a:extLst>
              <a:ext uri="{FF2B5EF4-FFF2-40B4-BE49-F238E27FC236}">
                <a16:creationId xmlns:a16="http://schemas.microsoft.com/office/drawing/2014/main" id="{911012B0-B57B-45A8-BF35-BDD79AB1FFF8}"/>
              </a:ext>
            </a:extLst>
          </xdr:cNvPr>
          <xdr:cNvCxnSpPr/>
        </xdr:nvCxnSpPr>
        <xdr:spPr>
          <a:xfrm flipH="1" flipV="1">
            <a:off x="1138238" y="47496413"/>
            <a:ext cx="1452562" cy="2190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1" name="Straight Connector 1790">
            <a:extLst>
              <a:ext uri="{FF2B5EF4-FFF2-40B4-BE49-F238E27FC236}">
                <a16:creationId xmlns:a16="http://schemas.microsoft.com/office/drawing/2014/main" id="{15119616-C183-4C1B-AF96-6EFC748D8B01}"/>
              </a:ext>
            </a:extLst>
          </xdr:cNvPr>
          <xdr:cNvCxnSpPr/>
        </xdr:nvCxnSpPr>
        <xdr:spPr>
          <a:xfrm flipH="1">
            <a:off x="2924175" y="47491650"/>
            <a:ext cx="1447800" cy="22383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2" name="Straight Connector 1791">
            <a:extLst>
              <a:ext uri="{FF2B5EF4-FFF2-40B4-BE49-F238E27FC236}">
                <a16:creationId xmlns:a16="http://schemas.microsoft.com/office/drawing/2014/main" id="{AC122F69-BE54-4650-A53A-097AABD69C8B}"/>
              </a:ext>
            </a:extLst>
          </xdr:cNvPr>
          <xdr:cNvCxnSpPr/>
        </xdr:nvCxnSpPr>
        <xdr:spPr>
          <a:xfrm flipH="1">
            <a:off x="723900" y="4750117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3" name="Straight Connector 1792">
            <a:extLst>
              <a:ext uri="{FF2B5EF4-FFF2-40B4-BE49-F238E27FC236}">
                <a16:creationId xmlns:a16="http://schemas.microsoft.com/office/drawing/2014/main" id="{D4DA2455-BAD2-41E1-8059-F73C920010B4}"/>
              </a:ext>
            </a:extLst>
          </xdr:cNvPr>
          <xdr:cNvCxnSpPr/>
        </xdr:nvCxnSpPr>
        <xdr:spPr>
          <a:xfrm flipH="1">
            <a:off x="762000" y="474630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32</xdr:col>
      <xdr:colOff>24420</xdr:colOff>
      <xdr:row>340</xdr:row>
      <xdr:rowOff>95250</xdr:rowOff>
    </xdr:from>
    <xdr:to>
      <xdr:col>54</xdr:col>
      <xdr:colOff>80356</xdr:colOff>
      <xdr:row>361</xdr:row>
      <xdr:rowOff>104775</xdr:rowOff>
    </xdr:to>
    <xdr:pic>
      <xdr:nvPicPr>
        <xdr:cNvPr id="1794" name="Picture 1793">
          <a:extLst>
            <a:ext uri="{FF2B5EF4-FFF2-40B4-BE49-F238E27FC236}">
              <a16:creationId xmlns:a16="http://schemas.microsoft.com/office/drawing/2014/main" id="{DF2550A1-746C-4DEC-84D9-AECECA2690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23" t="38439" r="51673" b="20029"/>
        <a:stretch/>
      </xdr:blipFill>
      <xdr:spPr bwMode="auto">
        <a:xfrm>
          <a:off x="5206020" y="44767500"/>
          <a:ext cx="3618286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76200</xdr:colOff>
      <xdr:row>206</xdr:row>
      <xdr:rowOff>123825</xdr:rowOff>
    </xdr:from>
    <xdr:to>
      <xdr:col>57</xdr:col>
      <xdr:colOff>142875</xdr:colOff>
      <xdr:row>208</xdr:row>
      <xdr:rowOff>66675</xdr:rowOff>
    </xdr:to>
    <xdr:cxnSp macro="">
      <xdr:nvCxnSpPr>
        <xdr:cNvPr id="1303" name="Straight Arrow Connector 1302">
          <a:extLst>
            <a:ext uri="{FF2B5EF4-FFF2-40B4-BE49-F238E27FC236}">
              <a16:creationId xmlns:a16="http://schemas.microsoft.com/office/drawing/2014/main" id="{4BD05050-F37C-4CB1-951A-8E2BE777BDD6}"/>
            </a:ext>
          </a:extLst>
        </xdr:cNvPr>
        <xdr:cNvCxnSpPr/>
      </xdr:nvCxnSpPr>
      <xdr:spPr>
        <a:xfrm flipH="1" flipV="1">
          <a:off x="8982075" y="1752600"/>
          <a:ext cx="390525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85725</xdr:colOff>
      <xdr:row>235</xdr:row>
      <xdr:rowOff>66675</xdr:rowOff>
    </xdr:from>
    <xdr:to>
      <xdr:col>46</xdr:col>
      <xdr:colOff>8164</xdr:colOff>
      <xdr:row>241</xdr:row>
      <xdr:rowOff>1360</xdr:rowOff>
    </xdr:to>
    <xdr:grpSp>
      <xdr:nvGrpSpPr>
        <xdr:cNvPr id="1309" name="Group 1308">
          <a:extLst>
            <a:ext uri="{FF2B5EF4-FFF2-40B4-BE49-F238E27FC236}">
              <a16:creationId xmlns:a16="http://schemas.microsoft.com/office/drawing/2014/main" id="{835102FB-8E34-4126-ACD1-CD198B4C3AA2}"/>
            </a:ext>
          </a:extLst>
        </xdr:cNvPr>
        <xdr:cNvGrpSpPr/>
      </xdr:nvGrpSpPr>
      <xdr:grpSpPr>
        <a:xfrm>
          <a:off x="5753100" y="36109275"/>
          <a:ext cx="1703614" cy="791935"/>
          <a:chOff x="6076950" y="10163175"/>
          <a:chExt cx="1703614" cy="791935"/>
        </a:xfrm>
      </xdr:grpSpPr>
      <xdr:sp macro="" textlink="">
        <xdr:nvSpPr>
          <xdr:cNvPr id="1315" name="Freeform: Shape 1314">
            <a:extLst>
              <a:ext uri="{FF2B5EF4-FFF2-40B4-BE49-F238E27FC236}">
                <a16:creationId xmlns:a16="http://schemas.microsoft.com/office/drawing/2014/main" id="{269B15B5-B9CC-48FD-A3E4-01EF36FDC3F1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31" name="Freeform: Shape 1330">
            <a:extLst>
              <a:ext uri="{FF2B5EF4-FFF2-40B4-BE49-F238E27FC236}">
                <a16:creationId xmlns:a16="http://schemas.microsoft.com/office/drawing/2014/main" id="{B968D30C-644C-4D3C-A45E-91D9E3D8D666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32" name="Freeform: Shape 1331">
            <a:extLst>
              <a:ext uri="{FF2B5EF4-FFF2-40B4-BE49-F238E27FC236}">
                <a16:creationId xmlns:a16="http://schemas.microsoft.com/office/drawing/2014/main" id="{26E83190-0281-4F4D-AE6F-45CD65112F33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368" name="Straight Connector 1367">
            <a:extLst>
              <a:ext uri="{FF2B5EF4-FFF2-40B4-BE49-F238E27FC236}">
                <a16:creationId xmlns:a16="http://schemas.microsoft.com/office/drawing/2014/main" id="{46A1A65B-D6B8-4B44-BFE2-1BDF0669F301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9" name="Straight Connector 1368">
            <a:extLst>
              <a:ext uri="{FF2B5EF4-FFF2-40B4-BE49-F238E27FC236}">
                <a16:creationId xmlns:a16="http://schemas.microsoft.com/office/drawing/2014/main" id="{A32A8207-ED3C-4AFF-B22F-43467873F881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1" name="Straight Connector 1420">
            <a:extLst>
              <a:ext uri="{FF2B5EF4-FFF2-40B4-BE49-F238E27FC236}">
                <a16:creationId xmlns:a16="http://schemas.microsoft.com/office/drawing/2014/main" id="{AD21478D-F3B2-4613-B9CC-3ACCC5E705A4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2" name="Straight Connector 1421">
            <a:extLst>
              <a:ext uri="{FF2B5EF4-FFF2-40B4-BE49-F238E27FC236}">
                <a16:creationId xmlns:a16="http://schemas.microsoft.com/office/drawing/2014/main" id="{54C4179F-7574-4957-A60F-FE1EF42DCFFE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2" name="Straight Connector 1441">
            <a:extLst>
              <a:ext uri="{FF2B5EF4-FFF2-40B4-BE49-F238E27FC236}">
                <a16:creationId xmlns:a16="http://schemas.microsoft.com/office/drawing/2014/main" id="{32449D6A-E92A-4815-BDE5-E4DE542BE699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1" name="Straight Connector 1460">
            <a:extLst>
              <a:ext uri="{FF2B5EF4-FFF2-40B4-BE49-F238E27FC236}">
                <a16:creationId xmlns:a16="http://schemas.microsoft.com/office/drawing/2014/main" id="{9C76F222-0783-462B-BCAA-CD75624E3B0E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0" name="Straight Connector 1609">
            <a:extLst>
              <a:ext uri="{FF2B5EF4-FFF2-40B4-BE49-F238E27FC236}">
                <a16:creationId xmlns:a16="http://schemas.microsoft.com/office/drawing/2014/main" id="{0012D611-6034-44A2-8EF2-9DFE827D6EF4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0" name="Straight Connector 1619">
            <a:extLst>
              <a:ext uri="{FF2B5EF4-FFF2-40B4-BE49-F238E27FC236}">
                <a16:creationId xmlns:a16="http://schemas.microsoft.com/office/drawing/2014/main" id="{9728F8E7-B13B-4121-B8D6-03D93FF7DB8C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5" name="Straight Connector 1784">
            <a:extLst>
              <a:ext uri="{FF2B5EF4-FFF2-40B4-BE49-F238E27FC236}">
                <a16:creationId xmlns:a16="http://schemas.microsoft.com/office/drawing/2014/main" id="{9653DBDB-73CC-4F01-A1AC-74976DBA9765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5" name="Straight Connector 1794">
            <a:extLst>
              <a:ext uri="{FF2B5EF4-FFF2-40B4-BE49-F238E27FC236}">
                <a16:creationId xmlns:a16="http://schemas.microsoft.com/office/drawing/2014/main" id="{DA30E7E5-4E44-471D-91CD-86A703363CF2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96" name="Freeform: Shape 1795">
            <a:extLst>
              <a:ext uri="{FF2B5EF4-FFF2-40B4-BE49-F238E27FC236}">
                <a16:creationId xmlns:a16="http://schemas.microsoft.com/office/drawing/2014/main" id="{472648B4-7B1D-4C04-9E27-62C8DF9C09B9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201</xdr:row>
      <xdr:rowOff>61913</xdr:rowOff>
    </xdr:from>
    <xdr:to>
      <xdr:col>31</xdr:col>
      <xdr:colOff>90488</xdr:colOff>
      <xdr:row>242</xdr:row>
      <xdr:rowOff>85725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59F07108-BF97-46BD-B367-80A1AB6C9D61}"/>
            </a:ext>
          </a:extLst>
        </xdr:cNvPr>
        <xdr:cNvGrpSpPr/>
      </xdr:nvGrpSpPr>
      <xdr:grpSpPr>
        <a:xfrm>
          <a:off x="395288" y="31246763"/>
          <a:ext cx="4714875" cy="5881687"/>
          <a:chOff x="395288" y="976313"/>
          <a:chExt cx="4714875" cy="5881687"/>
        </a:xfrm>
      </xdr:grpSpPr>
      <xdr:cxnSp macro="">
        <xdr:nvCxnSpPr>
          <xdr:cNvPr id="1798" name="Straight Connector 1797">
            <a:extLst>
              <a:ext uri="{FF2B5EF4-FFF2-40B4-BE49-F238E27FC236}">
                <a16:creationId xmlns:a16="http://schemas.microsoft.com/office/drawing/2014/main" id="{88AB9D48-8A60-418C-B21D-867C8D731D70}"/>
              </a:ext>
            </a:extLst>
          </xdr:cNvPr>
          <xdr:cNvCxnSpPr/>
        </xdr:nvCxnSpPr>
        <xdr:spPr>
          <a:xfrm flipH="1">
            <a:off x="2757488" y="1638300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9" name="Straight Connector 1798">
            <a:extLst>
              <a:ext uri="{FF2B5EF4-FFF2-40B4-BE49-F238E27FC236}">
                <a16:creationId xmlns:a16="http://schemas.microsoft.com/office/drawing/2014/main" id="{000670C1-AC0F-4BAF-9B5A-29B28C5D912B}"/>
              </a:ext>
            </a:extLst>
          </xdr:cNvPr>
          <xdr:cNvCxnSpPr/>
        </xdr:nvCxnSpPr>
        <xdr:spPr>
          <a:xfrm>
            <a:off x="1547813" y="1638300"/>
            <a:ext cx="1200150" cy="1975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0" name="Straight Connector 1799">
            <a:extLst>
              <a:ext uri="{FF2B5EF4-FFF2-40B4-BE49-F238E27FC236}">
                <a16:creationId xmlns:a16="http://schemas.microsoft.com/office/drawing/2014/main" id="{1320C052-35A3-4B09-AA45-A40F1D463F04}"/>
              </a:ext>
            </a:extLst>
          </xdr:cNvPr>
          <xdr:cNvCxnSpPr/>
        </xdr:nvCxnSpPr>
        <xdr:spPr>
          <a:xfrm>
            <a:off x="1133475" y="2805113"/>
            <a:ext cx="1624013" cy="11239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1" name="Straight Connector 1800">
            <a:extLst>
              <a:ext uri="{FF2B5EF4-FFF2-40B4-BE49-F238E27FC236}">
                <a16:creationId xmlns:a16="http://schemas.microsoft.com/office/drawing/2014/main" id="{484DEE35-0159-46F2-B8AB-0431C32F9692}"/>
              </a:ext>
            </a:extLst>
          </xdr:cNvPr>
          <xdr:cNvCxnSpPr/>
        </xdr:nvCxnSpPr>
        <xdr:spPr>
          <a:xfrm>
            <a:off x="1138238" y="3395663"/>
            <a:ext cx="1614487" cy="6703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2" name="Straight Connector 1801">
            <a:extLst>
              <a:ext uri="{FF2B5EF4-FFF2-40B4-BE49-F238E27FC236}">
                <a16:creationId xmlns:a16="http://schemas.microsoft.com/office/drawing/2014/main" id="{793ABECC-E271-4384-B543-255F2DA2E8FA}"/>
              </a:ext>
            </a:extLst>
          </xdr:cNvPr>
          <xdr:cNvCxnSpPr/>
        </xdr:nvCxnSpPr>
        <xdr:spPr>
          <a:xfrm>
            <a:off x="1143000" y="4300538"/>
            <a:ext cx="1604963" cy="2238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3" name="Straight Connector 1802">
            <a:extLst>
              <a:ext uri="{FF2B5EF4-FFF2-40B4-BE49-F238E27FC236}">
                <a16:creationId xmlns:a16="http://schemas.microsoft.com/office/drawing/2014/main" id="{D6597E62-2EF3-4C3E-99A8-E167518242BC}"/>
              </a:ext>
            </a:extLst>
          </xdr:cNvPr>
          <xdr:cNvCxnSpPr/>
        </xdr:nvCxnSpPr>
        <xdr:spPr>
          <a:xfrm>
            <a:off x="1114425" y="4686300"/>
            <a:ext cx="1638300" cy="9013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4" name="Straight Connector 1803">
            <a:extLst>
              <a:ext uri="{FF2B5EF4-FFF2-40B4-BE49-F238E27FC236}">
                <a16:creationId xmlns:a16="http://schemas.microsoft.com/office/drawing/2014/main" id="{C3516540-92FC-46E6-BFEC-0A7D512E0900}"/>
              </a:ext>
            </a:extLst>
          </xdr:cNvPr>
          <xdr:cNvCxnSpPr/>
        </xdr:nvCxnSpPr>
        <xdr:spPr>
          <a:xfrm flipV="1">
            <a:off x="2752725" y="4681540"/>
            <a:ext cx="1609725" cy="96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5" name="Straight Connector 1804">
            <a:extLst>
              <a:ext uri="{FF2B5EF4-FFF2-40B4-BE49-F238E27FC236}">
                <a16:creationId xmlns:a16="http://schemas.microsoft.com/office/drawing/2014/main" id="{1DEBAAC6-02D7-4B0D-A7BA-C2085E3C2F54}"/>
              </a:ext>
            </a:extLst>
          </xdr:cNvPr>
          <xdr:cNvCxnSpPr/>
        </xdr:nvCxnSpPr>
        <xdr:spPr>
          <a:xfrm flipV="1">
            <a:off x="2747963" y="3886200"/>
            <a:ext cx="1628775" cy="41965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6" name="Straight Connector 1805">
            <a:extLst>
              <a:ext uri="{FF2B5EF4-FFF2-40B4-BE49-F238E27FC236}">
                <a16:creationId xmlns:a16="http://schemas.microsoft.com/office/drawing/2014/main" id="{375E1F60-5DD8-4EB7-8CF0-1524D038201D}"/>
              </a:ext>
            </a:extLst>
          </xdr:cNvPr>
          <xdr:cNvCxnSpPr/>
        </xdr:nvCxnSpPr>
        <xdr:spPr>
          <a:xfrm flipV="1">
            <a:off x="2752725" y="3386138"/>
            <a:ext cx="1619250" cy="67892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7" name="Straight Connector 1806">
            <a:extLst>
              <a:ext uri="{FF2B5EF4-FFF2-40B4-BE49-F238E27FC236}">
                <a16:creationId xmlns:a16="http://schemas.microsoft.com/office/drawing/2014/main" id="{09E81F42-6D0E-46A4-8DF4-E65F0B84AED1}"/>
              </a:ext>
            </a:extLst>
          </xdr:cNvPr>
          <xdr:cNvCxnSpPr/>
        </xdr:nvCxnSpPr>
        <xdr:spPr>
          <a:xfrm flipV="1">
            <a:off x="2757488" y="2824163"/>
            <a:ext cx="1614487" cy="110059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8" name="Straight Connector 1807">
            <a:extLst>
              <a:ext uri="{FF2B5EF4-FFF2-40B4-BE49-F238E27FC236}">
                <a16:creationId xmlns:a16="http://schemas.microsoft.com/office/drawing/2014/main" id="{71FB199A-9DAA-408B-AEEE-0F9D7F0443BC}"/>
              </a:ext>
            </a:extLst>
          </xdr:cNvPr>
          <xdr:cNvCxnSpPr/>
        </xdr:nvCxnSpPr>
        <xdr:spPr>
          <a:xfrm flipH="1">
            <a:off x="2757297" y="1624013"/>
            <a:ext cx="1205103" cy="1995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9" name="Straight Connector 1808">
            <a:extLst>
              <a:ext uri="{FF2B5EF4-FFF2-40B4-BE49-F238E27FC236}">
                <a16:creationId xmlns:a16="http://schemas.microsoft.com/office/drawing/2014/main" id="{C4C9FA3E-B02A-4636-BD73-5344C102EB0B}"/>
              </a:ext>
            </a:extLst>
          </xdr:cNvPr>
          <xdr:cNvCxnSpPr/>
        </xdr:nvCxnSpPr>
        <xdr:spPr>
          <a:xfrm flipV="1">
            <a:off x="2867025" y="1633540"/>
            <a:ext cx="457200" cy="142820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0" name="Straight Connector 1809">
            <a:extLst>
              <a:ext uri="{FF2B5EF4-FFF2-40B4-BE49-F238E27FC236}">
                <a16:creationId xmlns:a16="http://schemas.microsoft.com/office/drawing/2014/main" id="{F35FE86A-FDB8-4398-BBF1-FB8D725CAD48}"/>
              </a:ext>
            </a:extLst>
          </xdr:cNvPr>
          <xdr:cNvCxnSpPr/>
        </xdr:nvCxnSpPr>
        <xdr:spPr>
          <a:xfrm flipV="1">
            <a:off x="2757488" y="4310064"/>
            <a:ext cx="1614487" cy="2150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1" name="Straight Connector 1810">
            <a:extLst>
              <a:ext uri="{FF2B5EF4-FFF2-40B4-BE49-F238E27FC236}">
                <a16:creationId xmlns:a16="http://schemas.microsoft.com/office/drawing/2014/main" id="{74C28BFF-D807-4F87-90F0-BF1DC297E333}"/>
              </a:ext>
            </a:extLst>
          </xdr:cNvPr>
          <xdr:cNvCxnSpPr/>
        </xdr:nvCxnSpPr>
        <xdr:spPr>
          <a:xfrm flipV="1">
            <a:off x="2752725" y="1490663"/>
            <a:ext cx="0" cy="507682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2" name="Straight Connector 1811">
            <a:extLst>
              <a:ext uri="{FF2B5EF4-FFF2-40B4-BE49-F238E27FC236}">
                <a16:creationId xmlns:a16="http://schemas.microsoft.com/office/drawing/2014/main" id="{8BA9CD20-3041-4608-A9B2-4633DB84469E}"/>
              </a:ext>
            </a:extLst>
          </xdr:cNvPr>
          <xdr:cNvCxnSpPr/>
        </xdr:nvCxnSpPr>
        <xdr:spPr>
          <a:xfrm>
            <a:off x="2181225" y="1638300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3" name="Straight Connector 1812">
            <a:extLst>
              <a:ext uri="{FF2B5EF4-FFF2-40B4-BE49-F238E27FC236}">
                <a16:creationId xmlns:a16="http://schemas.microsoft.com/office/drawing/2014/main" id="{A64491EA-78C6-4FB8-9A5E-7C8D3425A11E}"/>
              </a:ext>
            </a:extLst>
          </xdr:cNvPr>
          <xdr:cNvCxnSpPr/>
        </xdr:nvCxnSpPr>
        <xdr:spPr>
          <a:xfrm>
            <a:off x="1143000" y="2062163"/>
            <a:ext cx="1614488" cy="1719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4" name="Straight Connector 1813">
            <a:extLst>
              <a:ext uri="{FF2B5EF4-FFF2-40B4-BE49-F238E27FC236}">
                <a16:creationId xmlns:a16="http://schemas.microsoft.com/office/drawing/2014/main" id="{2BE9BD4F-1821-4211-BA32-767E2CEF19E8}"/>
              </a:ext>
            </a:extLst>
          </xdr:cNvPr>
          <xdr:cNvCxnSpPr/>
        </xdr:nvCxnSpPr>
        <xdr:spPr>
          <a:xfrm flipV="1">
            <a:off x="2762250" y="2066925"/>
            <a:ext cx="1604963" cy="1709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5" name="Straight Connector 1814">
            <a:extLst>
              <a:ext uri="{FF2B5EF4-FFF2-40B4-BE49-F238E27FC236}">
                <a16:creationId xmlns:a16="http://schemas.microsoft.com/office/drawing/2014/main" id="{22F601EC-1D70-4DEF-BFAA-D6D706962004}"/>
              </a:ext>
            </a:extLst>
          </xdr:cNvPr>
          <xdr:cNvCxnSpPr/>
        </xdr:nvCxnSpPr>
        <xdr:spPr>
          <a:xfrm flipV="1">
            <a:off x="2752725" y="1628775"/>
            <a:ext cx="0" cy="142875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6" name="Straight Connector 1815">
            <a:extLst>
              <a:ext uri="{FF2B5EF4-FFF2-40B4-BE49-F238E27FC236}">
                <a16:creationId xmlns:a16="http://schemas.microsoft.com/office/drawing/2014/main" id="{21363DDB-9680-430B-A634-B3326B5D4F96}"/>
              </a:ext>
            </a:extLst>
          </xdr:cNvPr>
          <xdr:cNvCxnSpPr/>
        </xdr:nvCxnSpPr>
        <xdr:spPr>
          <a:xfrm flipH="1" flipV="1">
            <a:off x="2181225" y="1628775"/>
            <a:ext cx="466178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7" name="Straight Connector 1816">
            <a:extLst>
              <a:ext uri="{FF2B5EF4-FFF2-40B4-BE49-F238E27FC236}">
                <a16:creationId xmlns:a16="http://schemas.microsoft.com/office/drawing/2014/main" id="{4BFEE4DD-C093-4E8A-9AC4-36FBA19AC1F8}"/>
              </a:ext>
            </a:extLst>
          </xdr:cNvPr>
          <xdr:cNvCxnSpPr/>
        </xdr:nvCxnSpPr>
        <xdr:spPr>
          <a:xfrm flipH="1" flipV="1">
            <a:off x="1547813" y="1633538"/>
            <a:ext cx="1042987" cy="17287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8" name="Straight Connector 1817">
            <a:extLst>
              <a:ext uri="{FF2B5EF4-FFF2-40B4-BE49-F238E27FC236}">
                <a16:creationId xmlns:a16="http://schemas.microsoft.com/office/drawing/2014/main" id="{20874EAD-1612-4DEA-88E7-49D67DE82EC3}"/>
              </a:ext>
            </a:extLst>
          </xdr:cNvPr>
          <xdr:cNvCxnSpPr/>
        </xdr:nvCxnSpPr>
        <xdr:spPr>
          <a:xfrm flipH="1">
            <a:off x="2914651" y="1624013"/>
            <a:ext cx="1057274" cy="17287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9" name="Straight Connector 1818">
            <a:extLst>
              <a:ext uri="{FF2B5EF4-FFF2-40B4-BE49-F238E27FC236}">
                <a16:creationId xmlns:a16="http://schemas.microsoft.com/office/drawing/2014/main" id="{0A2BA4FC-F3D3-4CFC-9098-2EDA49AEBB1E}"/>
              </a:ext>
            </a:extLst>
          </xdr:cNvPr>
          <xdr:cNvCxnSpPr/>
        </xdr:nvCxnSpPr>
        <xdr:spPr>
          <a:xfrm flipH="1" flipV="1">
            <a:off x="1138239" y="2062163"/>
            <a:ext cx="1462086" cy="15525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0" name="Straight Connector 1819">
            <a:extLst>
              <a:ext uri="{FF2B5EF4-FFF2-40B4-BE49-F238E27FC236}">
                <a16:creationId xmlns:a16="http://schemas.microsoft.com/office/drawing/2014/main" id="{F6118A08-C9BE-420D-AE57-9C0E0F8B836D}"/>
              </a:ext>
            </a:extLst>
          </xdr:cNvPr>
          <xdr:cNvCxnSpPr/>
        </xdr:nvCxnSpPr>
        <xdr:spPr>
          <a:xfrm flipH="1">
            <a:off x="2914650" y="2052637"/>
            <a:ext cx="1457325" cy="15668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1" name="Straight Connector 1820">
            <a:extLst>
              <a:ext uri="{FF2B5EF4-FFF2-40B4-BE49-F238E27FC236}">
                <a16:creationId xmlns:a16="http://schemas.microsoft.com/office/drawing/2014/main" id="{115FF1F1-8CB0-4249-8555-81D5312CD45A}"/>
              </a:ext>
            </a:extLst>
          </xdr:cNvPr>
          <xdr:cNvCxnSpPr/>
        </xdr:nvCxnSpPr>
        <xdr:spPr>
          <a:xfrm flipH="1" flipV="1">
            <a:off x="1128713" y="2805113"/>
            <a:ext cx="1462087" cy="1014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2" name="Straight Connector 1821">
            <a:extLst>
              <a:ext uri="{FF2B5EF4-FFF2-40B4-BE49-F238E27FC236}">
                <a16:creationId xmlns:a16="http://schemas.microsoft.com/office/drawing/2014/main" id="{77D1E286-AE4E-41C9-BE97-2EB21BFFFAC2}"/>
              </a:ext>
            </a:extLst>
          </xdr:cNvPr>
          <xdr:cNvCxnSpPr/>
        </xdr:nvCxnSpPr>
        <xdr:spPr>
          <a:xfrm flipH="1">
            <a:off x="2919413" y="2819400"/>
            <a:ext cx="1457325" cy="9953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3" name="Straight Connector 1822">
            <a:extLst>
              <a:ext uri="{FF2B5EF4-FFF2-40B4-BE49-F238E27FC236}">
                <a16:creationId xmlns:a16="http://schemas.microsoft.com/office/drawing/2014/main" id="{3D27C5E1-A8E9-40E3-894B-153EA31DD817}"/>
              </a:ext>
            </a:extLst>
          </xdr:cNvPr>
          <xdr:cNvCxnSpPr/>
        </xdr:nvCxnSpPr>
        <xdr:spPr>
          <a:xfrm flipH="1" flipV="1">
            <a:off x="1138238" y="3395661"/>
            <a:ext cx="1466850" cy="61436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4" name="Straight Connector 1823">
            <a:extLst>
              <a:ext uri="{FF2B5EF4-FFF2-40B4-BE49-F238E27FC236}">
                <a16:creationId xmlns:a16="http://schemas.microsoft.com/office/drawing/2014/main" id="{7743DC81-B1F0-4AE7-B503-D47E4017B202}"/>
              </a:ext>
            </a:extLst>
          </xdr:cNvPr>
          <xdr:cNvCxnSpPr/>
        </xdr:nvCxnSpPr>
        <xdr:spPr>
          <a:xfrm flipH="1">
            <a:off x="2914652" y="3386138"/>
            <a:ext cx="1466848" cy="60959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5" name="Straight Connector 1824">
            <a:extLst>
              <a:ext uri="{FF2B5EF4-FFF2-40B4-BE49-F238E27FC236}">
                <a16:creationId xmlns:a16="http://schemas.microsoft.com/office/drawing/2014/main" id="{515715F1-C440-40C0-883E-6263F3DC1EAA}"/>
              </a:ext>
            </a:extLst>
          </xdr:cNvPr>
          <xdr:cNvCxnSpPr/>
        </xdr:nvCxnSpPr>
        <xdr:spPr>
          <a:xfrm flipH="1" flipV="1">
            <a:off x="1133475" y="3876675"/>
            <a:ext cx="1457325" cy="3810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6" name="Straight Connector 1825">
            <a:extLst>
              <a:ext uri="{FF2B5EF4-FFF2-40B4-BE49-F238E27FC236}">
                <a16:creationId xmlns:a16="http://schemas.microsoft.com/office/drawing/2014/main" id="{34DE399E-3397-49FD-9167-2E6EAD24D0B7}"/>
              </a:ext>
            </a:extLst>
          </xdr:cNvPr>
          <xdr:cNvCxnSpPr/>
        </xdr:nvCxnSpPr>
        <xdr:spPr>
          <a:xfrm flipH="1">
            <a:off x="2919413" y="3886200"/>
            <a:ext cx="1452562" cy="37623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7" name="Straight Connector 1826">
            <a:extLst>
              <a:ext uri="{FF2B5EF4-FFF2-40B4-BE49-F238E27FC236}">
                <a16:creationId xmlns:a16="http://schemas.microsoft.com/office/drawing/2014/main" id="{EC751B0D-A0D0-49A8-83B9-B04921A32D02}"/>
              </a:ext>
            </a:extLst>
          </xdr:cNvPr>
          <xdr:cNvCxnSpPr/>
        </xdr:nvCxnSpPr>
        <xdr:spPr>
          <a:xfrm flipH="1" flipV="1">
            <a:off x="1138238" y="4295775"/>
            <a:ext cx="1452563" cy="20478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8" name="Straight Connector 1827">
            <a:extLst>
              <a:ext uri="{FF2B5EF4-FFF2-40B4-BE49-F238E27FC236}">
                <a16:creationId xmlns:a16="http://schemas.microsoft.com/office/drawing/2014/main" id="{C4B8F3F4-2A60-4565-ABB5-39A8D1D27910}"/>
              </a:ext>
            </a:extLst>
          </xdr:cNvPr>
          <xdr:cNvCxnSpPr/>
        </xdr:nvCxnSpPr>
        <xdr:spPr>
          <a:xfrm flipH="1">
            <a:off x="2904197" y="4314825"/>
            <a:ext cx="1467779" cy="1905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9" name="Straight Connector 1828">
            <a:extLst>
              <a:ext uri="{FF2B5EF4-FFF2-40B4-BE49-F238E27FC236}">
                <a16:creationId xmlns:a16="http://schemas.microsoft.com/office/drawing/2014/main" id="{5F3DDC9A-4C87-4C04-88B9-9A28997D7197}"/>
              </a:ext>
            </a:extLst>
          </xdr:cNvPr>
          <xdr:cNvCxnSpPr/>
        </xdr:nvCxnSpPr>
        <xdr:spPr>
          <a:xfrm flipH="1" flipV="1">
            <a:off x="1123950" y="4686302"/>
            <a:ext cx="1466850" cy="8095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0" name="Straight Connector 1829">
            <a:extLst>
              <a:ext uri="{FF2B5EF4-FFF2-40B4-BE49-F238E27FC236}">
                <a16:creationId xmlns:a16="http://schemas.microsoft.com/office/drawing/2014/main" id="{88076A35-CA91-4180-8E77-E7421C837FEE}"/>
              </a:ext>
            </a:extLst>
          </xdr:cNvPr>
          <xdr:cNvCxnSpPr/>
        </xdr:nvCxnSpPr>
        <xdr:spPr>
          <a:xfrm flipH="1">
            <a:off x="2914649" y="4681538"/>
            <a:ext cx="1462089" cy="8571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1" name="Straight Connector 1830">
            <a:extLst>
              <a:ext uri="{FF2B5EF4-FFF2-40B4-BE49-F238E27FC236}">
                <a16:creationId xmlns:a16="http://schemas.microsoft.com/office/drawing/2014/main" id="{D81D95AB-4833-46F1-9F86-33A2AA182B93}"/>
              </a:ext>
            </a:extLst>
          </xdr:cNvPr>
          <xdr:cNvCxnSpPr/>
        </xdr:nvCxnSpPr>
        <xdr:spPr>
          <a:xfrm>
            <a:off x="1066799" y="6486525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2" name="Straight Connector 1831">
            <a:extLst>
              <a:ext uri="{FF2B5EF4-FFF2-40B4-BE49-F238E27FC236}">
                <a16:creationId xmlns:a16="http://schemas.microsoft.com/office/drawing/2014/main" id="{2BA194B7-857E-4A38-A3D3-574F96B1B344}"/>
              </a:ext>
            </a:extLst>
          </xdr:cNvPr>
          <xdr:cNvCxnSpPr/>
        </xdr:nvCxnSpPr>
        <xdr:spPr>
          <a:xfrm>
            <a:off x="1133475" y="5715000"/>
            <a:ext cx="0" cy="11239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3" name="Straight Connector 1832">
            <a:extLst>
              <a:ext uri="{FF2B5EF4-FFF2-40B4-BE49-F238E27FC236}">
                <a16:creationId xmlns:a16="http://schemas.microsoft.com/office/drawing/2014/main" id="{C38462FE-6BA4-4618-A934-00B958953867}"/>
              </a:ext>
            </a:extLst>
          </xdr:cNvPr>
          <xdr:cNvCxnSpPr/>
        </xdr:nvCxnSpPr>
        <xdr:spPr>
          <a:xfrm flipH="1">
            <a:off x="1090613" y="64484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4" name="Straight Connector 1833">
            <a:extLst>
              <a:ext uri="{FF2B5EF4-FFF2-40B4-BE49-F238E27FC236}">
                <a16:creationId xmlns:a16="http://schemas.microsoft.com/office/drawing/2014/main" id="{B0417B60-C380-403B-893F-B868EE4EB5D9}"/>
              </a:ext>
            </a:extLst>
          </xdr:cNvPr>
          <xdr:cNvCxnSpPr/>
        </xdr:nvCxnSpPr>
        <xdr:spPr>
          <a:xfrm>
            <a:off x="4371975" y="5705475"/>
            <a:ext cx="0" cy="11525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5" name="Straight Connector 1834">
            <a:extLst>
              <a:ext uri="{FF2B5EF4-FFF2-40B4-BE49-F238E27FC236}">
                <a16:creationId xmlns:a16="http://schemas.microsoft.com/office/drawing/2014/main" id="{5424399B-10A1-4637-8E52-5ADE83841814}"/>
              </a:ext>
            </a:extLst>
          </xdr:cNvPr>
          <xdr:cNvCxnSpPr/>
        </xdr:nvCxnSpPr>
        <xdr:spPr>
          <a:xfrm flipH="1">
            <a:off x="4329113" y="64484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6" name="Straight Connector 1835">
            <a:extLst>
              <a:ext uri="{FF2B5EF4-FFF2-40B4-BE49-F238E27FC236}">
                <a16:creationId xmlns:a16="http://schemas.microsoft.com/office/drawing/2014/main" id="{2A5E84AA-41F4-4F97-A385-D174A8D1ED5D}"/>
              </a:ext>
            </a:extLst>
          </xdr:cNvPr>
          <xdr:cNvCxnSpPr/>
        </xdr:nvCxnSpPr>
        <xdr:spPr>
          <a:xfrm flipH="1">
            <a:off x="2709862" y="644842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7" name="Straight Connector 1836">
            <a:extLst>
              <a:ext uri="{FF2B5EF4-FFF2-40B4-BE49-F238E27FC236}">
                <a16:creationId xmlns:a16="http://schemas.microsoft.com/office/drawing/2014/main" id="{8357D176-55A9-4D4F-97B7-1316C9B92C03}"/>
              </a:ext>
            </a:extLst>
          </xdr:cNvPr>
          <xdr:cNvCxnSpPr/>
        </xdr:nvCxnSpPr>
        <xdr:spPr>
          <a:xfrm>
            <a:off x="1066800" y="5915025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8" name="Straight Connector 1837">
            <a:extLst>
              <a:ext uri="{FF2B5EF4-FFF2-40B4-BE49-F238E27FC236}">
                <a16:creationId xmlns:a16="http://schemas.microsoft.com/office/drawing/2014/main" id="{A3B7F239-0506-48D4-B7E9-A6202C624FB2}"/>
              </a:ext>
            </a:extLst>
          </xdr:cNvPr>
          <xdr:cNvCxnSpPr/>
        </xdr:nvCxnSpPr>
        <xdr:spPr>
          <a:xfrm>
            <a:off x="2590800" y="5715000"/>
            <a:ext cx="0" cy="2714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9" name="Straight Connector 1838">
            <a:extLst>
              <a:ext uri="{FF2B5EF4-FFF2-40B4-BE49-F238E27FC236}">
                <a16:creationId xmlns:a16="http://schemas.microsoft.com/office/drawing/2014/main" id="{04CB3BDC-27D6-4CC5-9EA9-D98179BAF154}"/>
              </a:ext>
            </a:extLst>
          </xdr:cNvPr>
          <xdr:cNvCxnSpPr/>
        </xdr:nvCxnSpPr>
        <xdr:spPr>
          <a:xfrm flipH="1">
            <a:off x="2543175" y="5872162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0" name="Straight Connector 1839">
            <a:extLst>
              <a:ext uri="{FF2B5EF4-FFF2-40B4-BE49-F238E27FC236}">
                <a16:creationId xmlns:a16="http://schemas.microsoft.com/office/drawing/2014/main" id="{FB51BD4A-6E66-41B2-A76A-A38C81CA5515}"/>
              </a:ext>
            </a:extLst>
          </xdr:cNvPr>
          <xdr:cNvCxnSpPr/>
        </xdr:nvCxnSpPr>
        <xdr:spPr>
          <a:xfrm>
            <a:off x="2914650" y="5705475"/>
            <a:ext cx="0" cy="2809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1" name="Straight Connector 1840">
            <a:extLst>
              <a:ext uri="{FF2B5EF4-FFF2-40B4-BE49-F238E27FC236}">
                <a16:creationId xmlns:a16="http://schemas.microsoft.com/office/drawing/2014/main" id="{CE1576B5-1690-41B6-99A4-B9FE0719D9EC}"/>
              </a:ext>
            </a:extLst>
          </xdr:cNvPr>
          <xdr:cNvCxnSpPr/>
        </xdr:nvCxnSpPr>
        <xdr:spPr>
          <a:xfrm flipH="1">
            <a:off x="2867025" y="587216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2" name="Straight Connector 1841">
            <a:extLst>
              <a:ext uri="{FF2B5EF4-FFF2-40B4-BE49-F238E27FC236}">
                <a16:creationId xmlns:a16="http://schemas.microsoft.com/office/drawing/2014/main" id="{44FA6A39-DF66-4624-9AB8-A0843B821FF4}"/>
              </a:ext>
            </a:extLst>
          </xdr:cNvPr>
          <xdr:cNvCxnSpPr/>
        </xdr:nvCxnSpPr>
        <xdr:spPr>
          <a:xfrm flipH="1">
            <a:off x="3190882" y="5019677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3" name="Straight Connector 1842">
            <a:extLst>
              <a:ext uri="{FF2B5EF4-FFF2-40B4-BE49-F238E27FC236}">
                <a16:creationId xmlns:a16="http://schemas.microsoft.com/office/drawing/2014/main" id="{15A65EEA-BC84-410D-9289-9B9D63630B3E}"/>
              </a:ext>
            </a:extLst>
          </xdr:cNvPr>
          <xdr:cNvCxnSpPr/>
        </xdr:nvCxnSpPr>
        <xdr:spPr>
          <a:xfrm>
            <a:off x="1895475" y="5553077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4" name="Straight Connector 1843">
            <a:extLst>
              <a:ext uri="{FF2B5EF4-FFF2-40B4-BE49-F238E27FC236}">
                <a16:creationId xmlns:a16="http://schemas.microsoft.com/office/drawing/2014/main" id="{107CA761-58B4-4E98-A1A8-E1C21A1D77EA}"/>
              </a:ext>
            </a:extLst>
          </xdr:cNvPr>
          <xdr:cNvCxnSpPr/>
        </xdr:nvCxnSpPr>
        <xdr:spPr>
          <a:xfrm>
            <a:off x="1824037" y="5548316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5" name="Straight Connector 1844">
            <a:extLst>
              <a:ext uri="{FF2B5EF4-FFF2-40B4-BE49-F238E27FC236}">
                <a16:creationId xmlns:a16="http://schemas.microsoft.com/office/drawing/2014/main" id="{B0D2316D-92A5-403B-A22F-E474C0EE3B7A}"/>
              </a:ext>
            </a:extLst>
          </xdr:cNvPr>
          <xdr:cNvCxnSpPr/>
        </xdr:nvCxnSpPr>
        <xdr:spPr>
          <a:xfrm flipH="1">
            <a:off x="1090613" y="5876917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6" name="Straight Connector 1845">
            <a:extLst>
              <a:ext uri="{FF2B5EF4-FFF2-40B4-BE49-F238E27FC236}">
                <a16:creationId xmlns:a16="http://schemas.microsoft.com/office/drawing/2014/main" id="{CEEED761-83EC-4256-B40F-30E83DE04A0C}"/>
              </a:ext>
            </a:extLst>
          </xdr:cNvPr>
          <xdr:cNvCxnSpPr/>
        </xdr:nvCxnSpPr>
        <xdr:spPr>
          <a:xfrm>
            <a:off x="1857375" y="60579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7" name="Straight Connector 1846">
            <a:extLst>
              <a:ext uri="{FF2B5EF4-FFF2-40B4-BE49-F238E27FC236}">
                <a16:creationId xmlns:a16="http://schemas.microsoft.com/office/drawing/2014/main" id="{E3310C95-7B70-4DE5-8BC4-6900EEBF8B9A}"/>
              </a:ext>
            </a:extLst>
          </xdr:cNvPr>
          <xdr:cNvCxnSpPr/>
        </xdr:nvCxnSpPr>
        <xdr:spPr>
          <a:xfrm>
            <a:off x="3648075" y="594836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8" name="Straight Connector 1847">
            <a:extLst>
              <a:ext uri="{FF2B5EF4-FFF2-40B4-BE49-F238E27FC236}">
                <a16:creationId xmlns:a16="http://schemas.microsoft.com/office/drawing/2014/main" id="{DFF9ABFF-5E1F-4403-9CB2-B1ADCF45C53F}"/>
              </a:ext>
            </a:extLst>
          </xdr:cNvPr>
          <xdr:cNvCxnSpPr/>
        </xdr:nvCxnSpPr>
        <xdr:spPr>
          <a:xfrm flipH="1">
            <a:off x="3605212" y="616268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9" name="Straight Connector 1848">
            <a:extLst>
              <a:ext uri="{FF2B5EF4-FFF2-40B4-BE49-F238E27FC236}">
                <a16:creationId xmlns:a16="http://schemas.microsoft.com/office/drawing/2014/main" id="{1ECB5695-6A1A-4F43-B936-A1B66051FFA5}"/>
              </a:ext>
            </a:extLst>
          </xdr:cNvPr>
          <xdr:cNvCxnSpPr/>
        </xdr:nvCxnSpPr>
        <xdr:spPr>
          <a:xfrm flipV="1">
            <a:off x="1133475" y="990600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0" name="Straight Connector 1849">
            <a:extLst>
              <a:ext uri="{FF2B5EF4-FFF2-40B4-BE49-F238E27FC236}">
                <a16:creationId xmlns:a16="http://schemas.microsoft.com/office/drawing/2014/main" id="{B5189E18-F46B-4FF3-B7EF-5DF520363E21}"/>
              </a:ext>
            </a:extLst>
          </xdr:cNvPr>
          <xdr:cNvCxnSpPr/>
        </xdr:nvCxnSpPr>
        <xdr:spPr>
          <a:xfrm>
            <a:off x="1062038" y="134302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1" name="Straight Connector 1850">
            <a:extLst>
              <a:ext uri="{FF2B5EF4-FFF2-40B4-BE49-F238E27FC236}">
                <a16:creationId xmlns:a16="http://schemas.microsoft.com/office/drawing/2014/main" id="{AAD2B553-5D44-4E20-AC23-7CBD334A8C97}"/>
              </a:ext>
            </a:extLst>
          </xdr:cNvPr>
          <xdr:cNvCxnSpPr/>
        </xdr:nvCxnSpPr>
        <xdr:spPr>
          <a:xfrm flipH="1">
            <a:off x="1085845" y="13049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2" name="Straight Connector 1851">
            <a:extLst>
              <a:ext uri="{FF2B5EF4-FFF2-40B4-BE49-F238E27FC236}">
                <a16:creationId xmlns:a16="http://schemas.microsoft.com/office/drawing/2014/main" id="{1D90240C-A712-48B4-AD0F-AAF9616D560C}"/>
              </a:ext>
            </a:extLst>
          </xdr:cNvPr>
          <xdr:cNvCxnSpPr/>
        </xdr:nvCxnSpPr>
        <xdr:spPr>
          <a:xfrm>
            <a:off x="1543062" y="127635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3" name="Straight Connector 1852">
            <a:extLst>
              <a:ext uri="{FF2B5EF4-FFF2-40B4-BE49-F238E27FC236}">
                <a16:creationId xmlns:a16="http://schemas.microsoft.com/office/drawing/2014/main" id="{CCC6F484-113C-44FD-91C9-E9B8090F6A8F}"/>
              </a:ext>
            </a:extLst>
          </xdr:cNvPr>
          <xdr:cNvCxnSpPr/>
        </xdr:nvCxnSpPr>
        <xdr:spPr>
          <a:xfrm flipH="1">
            <a:off x="1500201" y="13001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4" name="Straight Connector 1853">
            <a:extLst>
              <a:ext uri="{FF2B5EF4-FFF2-40B4-BE49-F238E27FC236}">
                <a16:creationId xmlns:a16="http://schemas.microsoft.com/office/drawing/2014/main" id="{EACFDE77-62C6-44A4-A7D0-E5CA5BEE050A}"/>
              </a:ext>
            </a:extLst>
          </xdr:cNvPr>
          <xdr:cNvCxnSpPr/>
        </xdr:nvCxnSpPr>
        <xdr:spPr>
          <a:xfrm>
            <a:off x="2752726" y="976313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5" name="Straight Connector 1854">
            <a:extLst>
              <a:ext uri="{FF2B5EF4-FFF2-40B4-BE49-F238E27FC236}">
                <a16:creationId xmlns:a16="http://schemas.microsoft.com/office/drawing/2014/main" id="{5AA09E8A-55C6-4355-A6D7-D0FD2A9D911B}"/>
              </a:ext>
            </a:extLst>
          </xdr:cNvPr>
          <xdr:cNvCxnSpPr/>
        </xdr:nvCxnSpPr>
        <xdr:spPr>
          <a:xfrm>
            <a:off x="3967166" y="128111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6" name="Straight Connector 1855">
            <a:extLst>
              <a:ext uri="{FF2B5EF4-FFF2-40B4-BE49-F238E27FC236}">
                <a16:creationId xmlns:a16="http://schemas.microsoft.com/office/drawing/2014/main" id="{237509C6-3B73-4E8A-A993-B46151554221}"/>
              </a:ext>
            </a:extLst>
          </xdr:cNvPr>
          <xdr:cNvCxnSpPr/>
        </xdr:nvCxnSpPr>
        <xdr:spPr>
          <a:xfrm flipH="1">
            <a:off x="3924304" y="130492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7" name="Straight Connector 1856">
            <a:extLst>
              <a:ext uri="{FF2B5EF4-FFF2-40B4-BE49-F238E27FC236}">
                <a16:creationId xmlns:a16="http://schemas.microsoft.com/office/drawing/2014/main" id="{FDA51CF9-DEB7-48B1-96A5-A9AB105AE18C}"/>
              </a:ext>
            </a:extLst>
          </xdr:cNvPr>
          <xdr:cNvCxnSpPr/>
        </xdr:nvCxnSpPr>
        <xdr:spPr>
          <a:xfrm flipV="1">
            <a:off x="4371975" y="985837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8" name="Straight Connector 1857">
            <a:extLst>
              <a:ext uri="{FF2B5EF4-FFF2-40B4-BE49-F238E27FC236}">
                <a16:creationId xmlns:a16="http://schemas.microsoft.com/office/drawing/2014/main" id="{AD4BDFA0-D6CE-444E-8DF8-4DB91F5B8D51}"/>
              </a:ext>
            </a:extLst>
          </xdr:cNvPr>
          <xdr:cNvCxnSpPr/>
        </xdr:nvCxnSpPr>
        <xdr:spPr>
          <a:xfrm flipH="1">
            <a:off x="4329113" y="13001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9" name="Straight Connector 1858">
            <a:extLst>
              <a:ext uri="{FF2B5EF4-FFF2-40B4-BE49-F238E27FC236}">
                <a16:creationId xmlns:a16="http://schemas.microsoft.com/office/drawing/2014/main" id="{B2610261-A0C1-4E2F-9CB2-135161F29232}"/>
              </a:ext>
            </a:extLst>
          </xdr:cNvPr>
          <xdr:cNvCxnSpPr/>
        </xdr:nvCxnSpPr>
        <xdr:spPr>
          <a:xfrm>
            <a:off x="1057275" y="105727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0" name="Straight Connector 1859">
            <a:extLst>
              <a:ext uri="{FF2B5EF4-FFF2-40B4-BE49-F238E27FC236}">
                <a16:creationId xmlns:a16="http://schemas.microsoft.com/office/drawing/2014/main" id="{D7AF13BA-E204-4FB6-9DE5-4D4F4F615537}"/>
              </a:ext>
            </a:extLst>
          </xdr:cNvPr>
          <xdr:cNvCxnSpPr/>
        </xdr:nvCxnSpPr>
        <xdr:spPr>
          <a:xfrm flipH="1">
            <a:off x="1085850" y="10191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1" name="Straight Connector 1860">
            <a:extLst>
              <a:ext uri="{FF2B5EF4-FFF2-40B4-BE49-F238E27FC236}">
                <a16:creationId xmlns:a16="http://schemas.microsoft.com/office/drawing/2014/main" id="{992C3F76-B9C5-44A3-8D5F-C0933A335FBD}"/>
              </a:ext>
            </a:extLst>
          </xdr:cNvPr>
          <xdr:cNvCxnSpPr/>
        </xdr:nvCxnSpPr>
        <xdr:spPr>
          <a:xfrm flipH="1">
            <a:off x="4324350" y="10144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2" name="Straight Connector 1861">
            <a:extLst>
              <a:ext uri="{FF2B5EF4-FFF2-40B4-BE49-F238E27FC236}">
                <a16:creationId xmlns:a16="http://schemas.microsoft.com/office/drawing/2014/main" id="{5D8EB7AF-CBDE-450E-AA53-5C16040EB876}"/>
              </a:ext>
            </a:extLst>
          </xdr:cNvPr>
          <xdr:cNvCxnSpPr/>
        </xdr:nvCxnSpPr>
        <xdr:spPr>
          <a:xfrm flipH="1">
            <a:off x="2705101" y="101441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3" name="Straight Connector 1862">
            <a:extLst>
              <a:ext uri="{FF2B5EF4-FFF2-40B4-BE49-F238E27FC236}">
                <a16:creationId xmlns:a16="http://schemas.microsoft.com/office/drawing/2014/main" id="{235B5849-FA1A-4FC7-B780-2176850354D5}"/>
              </a:ext>
            </a:extLst>
          </xdr:cNvPr>
          <xdr:cNvCxnSpPr/>
        </xdr:nvCxnSpPr>
        <xdr:spPr>
          <a:xfrm flipH="1">
            <a:off x="2705101" y="13049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4" name="Straight Connector 1863">
            <a:extLst>
              <a:ext uri="{FF2B5EF4-FFF2-40B4-BE49-F238E27FC236}">
                <a16:creationId xmlns:a16="http://schemas.microsoft.com/office/drawing/2014/main" id="{E7F7718D-D72C-4789-BFA4-8E19D946194C}"/>
              </a:ext>
            </a:extLst>
          </xdr:cNvPr>
          <xdr:cNvCxnSpPr/>
        </xdr:nvCxnSpPr>
        <xdr:spPr>
          <a:xfrm flipH="1">
            <a:off x="409575" y="162877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5" name="Straight Connector 1864">
            <a:extLst>
              <a:ext uri="{FF2B5EF4-FFF2-40B4-BE49-F238E27FC236}">
                <a16:creationId xmlns:a16="http://schemas.microsoft.com/office/drawing/2014/main" id="{D8F2B44A-7EF3-49CF-BA47-3B3F20465C98}"/>
              </a:ext>
            </a:extLst>
          </xdr:cNvPr>
          <xdr:cNvCxnSpPr/>
        </xdr:nvCxnSpPr>
        <xdr:spPr>
          <a:xfrm>
            <a:off x="809626" y="1562100"/>
            <a:ext cx="0" cy="415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6" name="Straight Connector 1865">
            <a:extLst>
              <a:ext uri="{FF2B5EF4-FFF2-40B4-BE49-F238E27FC236}">
                <a16:creationId xmlns:a16="http://schemas.microsoft.com/office/drawing/2014/main" id="{4B786A95-3934-41F0-A42E-AF679491AC60}"/>
              </a:ext>
            </a:extLst>
          </xdr:cNvPr>
          <xdr:cNvCxnSpPr/>
        </xdr:nvCxnSpPr>
        <xdr:spPr>
          <a:xfrm flipH="1">
            <a:off x="766763" y="159067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7" name="Straight Connector 1866">
            <a:extLst>
              <a:ext uri="{FF2B5EF4-FFF2-40B4-BE49-F238E27FC236}">
                <a16:creationId xmlns:a16="http://schemas.microsoft.com/office/drawing/2014/main" id="{0AB15A45-D75F-431F-A711-9E019777DCFA}"/>
              </a:ext>
            </a:extLst>
          </xdr:cNvPr>
          <xdr:cNvCxnSpPr/>
        </xdr:nvCxnSpPr>
        <xdr:spPr>
          <a:xfrm flipH="1">
            <a:off x="723900" y="206215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8" name="Straight Connector 1867">
            <a:extLst>
              <a:ext uri="{FF2B5EF4-FFF2-40B4-BE49-F238E27FC236}">
                <a16:creationId xmlns:a16="http://schemas.microsoft.com/office/drawing/2014/main" id="{0CFAB934-94FE-485C-8EFF-5A4C68B7A901}"/>
              </a:ext>
            </a:extLst>
          </xdr:cNvPr>
          <xdr:cNvCxnSpPr/>
        </xdr:nvCxnSpPr>
        <xdr:spPr>
          <a:xfrm flipH="1">
            <a:off x="762000" y="202405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9" name="Straight Connector 1868">
            <a:extLst>
              <a:ext uri="{FF2B5EF4-FFF2-40B4-BE49-F238E27FC236}">
                <a16:creationId xmlns:a16="http://schemas.microsoft.com/office/drawing/2014/main" id="{4AB73954-8372-4D1A-AC46-6AE2BB432EAB}"/>
              </a:ext>
            </a:extLst>
          </xdr:cNvPr>
          <xdr:cNvCxnSpPr/>
        </xdr:nvCxnSpPr>
        <xdr:spPr>
          <a:xfrm flipH="1">
            <a:off x="723900" y="339566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0" name="Straight Connector 1869">
            <a:extLst>
              <a:ext uri="{FF2B5EF4-FFF2-40B4-BE49-F238E27FC236}">
                <a16:creationId xmlns:a16="http://schemas.microsoft.com/office/drawing/2014/main" id="{1D33F50D-C942-4C0E-B337-26CAE238B9C5}"/>
              </a:ext>
            </a:extLst>
          </xdr:cNvPr>
          <xdr:cNvCxnSpPr/>
        </xdr:nvCxnSpPr>
        <xdr:spPr>
          <a:xfrm flipH="1">
            <a:off x="762000" y="335756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1" name="Straight Connector 1870">
            <a:extLst>
              <a:ext uri="{FF2B5EF4-FFF2-40B4-BE49-F238E27FC236}">
                <a16:creationId xmlns:a16="http://schemas.microsoft.com/office/drawing/2014/main" id="{3D69A0B3-68E5-4AC6-9B8B-115861817073}"/>
              </a:ext>
            </a:extLst>
          </xdr:cNvPr>
          <xdr:cNvCxnSpPr/>
        </xdr:nvCxnSpPr>
        <xdr:spPr>
          <a:xfrm flipH="1">
            <a:off x="723900" y="387667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2" name="Straight Connector 1871">
            <a:extLst>
              <a:ext uri="{FF2B5EF4-FFF2-40B4-BE49-F238E27FC236}">
                <a16:creationId xmlns:a16="http://schemas.microsoft.com/office/drawing/2014/main" id="{368436D6-B062-4E35-AB0F-A541AE6F932F}"/>
              </a:ext>
            </a:extLst>
          </xdr:cNvPr>
          <xdr:cNvCxnSpPr/>
        </xdr:nvCxnSpPr>
        <xdr:spPr>
          <a:xfrm flipH="1">
            <a:off x="762000" y="383857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3" name="Straight Connector 1872">
            <a:extLst>
              <a:ext uri="{FF2B5EF4-FFF2-40B4-BE49-F238E27FC236}">
                <a16:creationId xmlns:a16="http://schemas.microsoft.com/office/drawing/2014/main" id="{BB20F46B-DBF6-4D5B-AE82-9E58968EFFAA}"/>
              </a:ext>
            </a:extLst>
          </xdr:cNvPr>
          <xdr:cNvCxnSpPr/>
        </xdr:nvCxnSpPr>
        <xdr:spPr>
          <a:xfrm flipH="1">
            <a:off x="728663" y="429577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4" name="Straight Connector 1873">
            <a:extLst>
              <a:ext uri="{FF2B5EF4-FFF2-40B4-BE49-F238E27FC236}">
                <a16:creationId xmlns:a16="http://schemas.microsoft.com/office/drawing/2014/main" id="{331105EF-25B8-4630-846A-5264D349727C}"/>
              </a:ext>
            </a:extLst>
          </xdr:cNvPr>
          <xdr:cNvCxnSpPr/>
        </xdr:nvCxnSpPr>
        <xdr:spPr>
          <a:xfrm flipH="1">
            <a:off x="766763" y="425767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5" name="Straight Connector 1874">
            <a:extLst>
              <a:ext uri="{FF2B5EF4-FFF2-40B4-BE49-F238E27FC236}">
                <a16:creationId xmlns:a16="http://schemas.microsoft.com/office/drawing/2014/main" id="{07A8998A-AEE2-45A2-8A0D-CABE320A0A08}"/>
              </a:ext>
            </a:extLst>
          </xdr:cNvPr>
          <xdr:cNvCxnSpPr/>
        </xdr:nvCxnSpPr>
        <xdr:spPr>
          <a:xfrm flipH="1">
            <a:off x="728663" y="468154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6" name="Straight Connector 1875">
            <a:extLst>
              <a:ext uri="{FF2B5EF4-FFF2-40B4-BE49-F238E27FC236}">
                <a16:creationId xmlns:a16="http://schemas.microsoft.com/office/drawing/2014/main" id="{9206B2A2-0F76-4C31-9DCB-EE353CA953CC}"/>
              </a:ext>
            </a:extLst>
          </xdr:cNvPr>
          <xdr:cNvCxnSpPr/>
        </xdr:nvCxnSpPr>
        <xdr:spPr>
          <a:xfrm flipH="1">
            <a:off x="766763" y="464344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7" name="Straight Connector 1876">
            <a:extLst>
              <a:ext uri="{FF2B5EF4-FFF2-40B4-BE49-F238E27FC236}">
                <a16:creationId xmlns:a16="http://schemas.microsoft.com/office/drawing/2014/main" id="{5202F9E5-26D6-45A9-92B5-853FFD14B2CF}"/>
              </a:ext>
            </a:extLst>
          </xdr:cNvPr>
          <xdr:cNvCxnSpPr/>
        </xdr:nvCxnSpPr>
        <xdr:spPr>
          <a:xfrm flipH="1">
            <a:off x="395288" y="5629270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8" name="Straight Connector 1877">
            <a:extLst>
              <a:ext uri="{FF2B5EF4-FFF2-40B4-BE49-F238E27FC236}">
                <a16:creationId xmlns:a16="http://schemas.microsoft.com/office/drawing/2014/main" id="{01A2C75F-9E53-4106-883D-55B79EDDAC22}"/>
              </a:ext>
            </a:extLst>
          </xdr:cNvPr>
          <xdr:cNvCxnSpPr/>
        </xdr:nvCxnSpPr>
        <xdr:spPr>
          <a:xfrm flipH="1">
            <a:off x="766764" y="559117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9" name="Straight Connector 1878">
            <a:extLst>
              <a:ext uri="{FF2B5EF4-FFF2-40B4-BE49-F238E27FC236}">
                <a16:creationId xmlns:a16="http://schemas.microsoft.com/office/drawing/2014/main" id="{1759DA68-84DA-4B6F-A001-15E6B63EF032}"/>
              </a:ext>
            </a:extLst>
          </xdr:cNvPr>
          <xdr:cNvCxnSpPr/>
        </xdr:nvCxnSpPr>
        <xdr:spPr>
          <a:xfrm>
            <a:off x="485776" y="1557338"/>
            <a:ext cx="0" cy="41576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0" name="Straight Connector 1879">
            <a:extLst>
              <a:ext uri="{FF2B5EF4-FFF2-40B4-BE49-F238E27FC236}">
                <a16:creationId xmlns:a16="http://schemas.microsoft.com/office/drawing/2014/main" id="{3403CC1A-C1B2-4C5A-B30F-2E0E31B945D3}"/>
              </a:ext>
            </a:extLst>
          </xdr:cNvPr>
          <xdr:cNvCxnSpPr/>
        </xdr:nvCxnSpPr>
        <xdr:spPr>
          <a:xfrm flipH="1">
            <a:off x="442913" y="158591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1" name="Straight Connector 1880">
            <a:extLst>
              <a:ext uri="{FF2B5EF4-FFF2-40B4-BE49-F238E27FC236}">
                <a16:creationId xmlns:a16="http://schemas.microsoft.com/office/drawing/2014/main" id="{7E620F1D-615A-4684-A9E0-AE1FC306A79F}"/>
              </a:ext>
            </a:extLst>
          </xdr:cNvPr>
          <xdr:cNvCxnSpPr/>
        </xdr:nvCxnSpPr>
        <xdr:spPr>
          <a:xfrm flipH="1">
            <a:off x="442914" y="558640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2" name="Straight Connector 1881">
            <a:extLst>
              <a:ext uri="{FF2B5EF4-FFF2-40B4-BE49-F238E27FC236}">
                <a16:creationId xmlns:a16="http://schemas.microsoft.com/office/drawing/2014/main" id="{718EBE2A-B09F-4443-B132-D1E3C2DDD31B}"/>
              </a:ext>
            </a:extLst>
          </xdr:cNvPr>
          <xdr:cNvCxnSpPr/>
        </xdr:nvCxnSpPr>
        <xdr:spPr>
          <a:xfrm flipH="1">
            <a:off x="723900" y="2805111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3" name="Straight Connector 1882">
            <a:extLst>
              <a:ext uri="{FF2B5EF4-FFF2-40B4-BE49-F238E27FC236}">
                <a16:creationId xmlns:a16="http://schemas.microsoft.com/office/drawing/2014/main" id="{9DA195EC-A542-4115-AA17-57AF01D1D186}"/>
              </a:ext>
            </a:extLst>
          </xdr:cNvPr>
          <xdr:cNvCxnSpPr/>
        </xdr:nvCxnSpPr>
        <xdr:spPr>
          <a:xfrm flipH="1">
            <a:off x="762000" y="27670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4" name="Straight Connector 1883">
            <a:extLst>
              <a:ext uri="{FF2B5EF4-FFF2-40B4-BE49-F238E27FC236}">
                <a16:creationId xmlns:a16="http://schemas.microsoft.com/office/drawing/2014/main" id="{1D19AF22-733D-4603-85CD-7A370DDA6F5F}"/>
              </a:ext>
            </a:extLst>
          </xdr:cNvPr>
          <xdr:cNvCxnSpPr/>
        </xdr:nvCxnSpPr>
        <xdr:spPr>
          <a:xfrm>
            <a:off x="4695825" y="1552575"/>
            <a:ext cx="0" cy="41814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5" name="Straight Connector 1884">
            <a:extLst>
              <a:ext uri="{FF2B5EF4-FFF2-40B4-BE49-F238E27FC236}">
                <a16:creationId xmlns:a16="http://schemas.microsoft.com/office/drawing/2014/main" id="{B9AB7D9B-09C9-4799-895B-69B629FDE035}"/>
              </a:ext>
            </a:extLst>
          </xdr:cNvPr>
          <xdr:cNvCxnSpPr/>
        </xdr:nvCxnSpPr>
        <xdr:spPr>
          <a:xfrm>
            <a:off x="4414838" y="5629268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6" name="Straight Connector 1885">
            <a:extLst>
              <a:ext uri="{FF2B5EF4-FFF2-40B4-BE49-F238E27FC236}">
                <a16:creationId xmlns:a16="http://schemas.microsoft.com/office/drawing/2014/main" id="{59983E70-1C86-4169-B3AC-900BE675710C}"/>
              </a:ext>
            </a:extLst>
          </xdr:cNvPr>
          <xdr:cNvCxnSpPr/>
        </xdr:nvCxnSpPr>
        <xdr:spPr>
          <a:xfrm>
            <a:off x="4410075" y="162877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7" name="Straight Connector 1886">
            <a:extLst>
              <a:ext uri="{FF2B5EF4-FFF2-40B4-BE49-F238E27FC236}">
                <a16:creationId xmlns:a16="http://schemas.microsoft.com/office/drawing/2014/main" id="{739BCB13-87AD-4C10-8B0C-A1A62C138EE0}"/>
              </a:ext>
            </a:extLst>
          </xdr:cNvPr>
          <xdr:cNvCxnSpPr/>
        </xdr:nvCxnSpPr>
        <xdr:spPr>
          <a:xfrm flipH="1">
            <a:off x="4648200" y="159067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8" name="Straight Connector 1887">
            <a:extLst>
              <a:ext uri="{FF2B5EF4-FFF2-40B4-BE49-F238E27FC236}">
                <a16:creationId xmlns:a16="http://schemas.microsoft.com/office/drawing/2014/main" id="{7FF29A8B-22C5-4C3A-8262-B684DA0CC73D}"/>
              </a:ext>
            </a:extLst>
          </xdr:cNvPr>
          <xdr:cNvCxnSpPr/>
        </xdr:nvCxnSpPr>
        <xdr:spPr>
          <a:xfrm flipH="1">
            <a:off x="4648201" y="5586405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9" name="Straight Connector 1888">
            <a:extLst>
              <a:ext uri="{FF2B5EF4-FFF2-40B4-BE49-F238E27FC236}">
                <a16:creationId xmlns:a16="http://schemas.microsoft.com/office/drawing/2014/main" id="{47A4EB01-A132-444F-9DDF-4EC6C5D651E5}"/>
              </a:ext>
            </a:extLst>
          </xdr:cNvPr>
          <xdr:cNvCxnSpPr/>
        </xdr:nvCxnSpPr>
        <xdr:spPr>
          <a:xfrm>
            <a:off x="3657600" y="3200400"/>
            <a:ext cx="11096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0" name="Straight Connector 1889">
            <a:extLst>
              <a:ext uri="{FF2B5EF4-FFF2-40B4-BE49-F238E27FC236}">
                <a16:creationId xmlns:a16="http://schemas.microsoft.com/office/drawing/2014/main" id="{478B8CBD-303D-417E-9858-03177CD05DD1}"/>
              </a:ext>
            </a:extLst>
          </xdr:cNvPr>
          <xdr:cNvCxnSpPr/>
        </xdr:nvCxnSpPr>
        <xdr:spPr>
          <a:xfrm flipH="1">
            <a:off x="4652964" y="31575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1" name="Straight Connector 1890">
            <a:extLst>
              <a:ext uri="{FF2B5EF4-FFF2-40B4-BE49-F238E27FC236}">
                <a16:creationId xmlns:a16="http://schemas.microsoft.com/office/drawing/2014/main" id="{D8BAD262-4C46-47B0-A2EE-3437C9D2F124}"/>
              </a:ext>
            </a:extLst>
          </xdr:cNvPr>
          <xdr:cNvCxnSpPr/>
        </xdr:nvCxnSpPr>
        <xdr:spPr>
          <a:xfrm>
            <a:off x="3238500" y="2990850"/>
            <a:ext cx="0" cy="2743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2" name="Straight Connector 1891">
            <a:extLst>
              <a:ext uri="{FF2B5EF4-FFF2-40B4-BE49-F238E27FC236}">
                <a16:creationId xmlns:a16="http://schemas.microsoft.com/office/drawing/2014/main" id="{CAB0C2AB-1329-4A0A-B3A2-5513F3B8BD24}"/>
              </a:ext>
            </a:extLst>
          </xdr:cNvPr>
          <xdr:cNvCxnSpPr/>
        </xdr:nvCxnSpPr>
        <xdr:spPr>
          <a:xfrm>
            <a:off x="1147763" y="3881438"/>
            <a:ext cx="1604962" cy="4202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3" name="Straight Connector 1892">
            <a:extLst>
              <a:ext uri="{FF2B5EF4-FFF2-40B4-BE49-F238E27FC236}">
                <a16:creationId xmlns:a16="http://schemas.microsoft.com/office/drawing/2014/main" id="{93C2EA7B-D332-4284-8E61-EAF0A86C18F9}"/>
              </a:ext>
            </a:extLst>
          </xdr:cNvPr>
          <xdr:cNvCxnSpPr/>
        </xdr:nvCxnSpPr>
        <xdr:spPr>
          <a:xfrm flipH="1">
            <a:off x="3186112" y="300990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4" name="Straight Connector 1893">
            <a:extLst>
              <a:ext uri="{FF2B5EF4-FFF2-40B4-BE49-F238E27FC236}">
                <a16:creationId xmlns:a16="http://schemas.microsoft.com/office/drawing/2014/main" id="{3C420650-2DED-44EF-961B-646F2F4D1729}"/>
              </a:ext>
            </a:extLst>
          </xdr:cNvPr>
          <xdr:cNvCxnSpPr/>
        </xdr:nvCxnSpPr>
        <xdr:spPr>
          <a:xfrm flipH="1">
            <a:off x="2581275" y="2767013"/>
            <a:ext cx="2428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5" name="Straight Connector 1894">
            <a:extLst>
              <a:ext uri="{FF2B5EF4-FFF2-40B4-BE49-F238E27FC236}">
                <a16:creationId xmlns:a16="http://schemas.microsoft.com/office/drawing/2014/main" id="{D2B960F3-767F-4A10-B356-885BB4633E46}"/>
              </a:ext>
            </a:extLst>
          </xdr:cNvPr>
          <xdr:cNvCxnSpPr/>
        </xdr:nvCxnSpPr>
        <xdr:spPr>
          <a:xfrm>
            <a:off x="2647955" y="2671759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6" name="Straight Connector 1895">
            <a:extLst>
              <a:ext uri="{FF2B5EF4-FFF2-40B4-BE49-F238E27FC236}">
                <a16:creationId xmlns:a16="http://schemas.microsoft.com/office/drawing/2014/main" id="{14DB8A23-C039-4E0B-A143-8F2CCA18CA15}"/>
              </a:ext>
            </a:extLst>
          </xdr:cNvPr>
          <xdr:cNvCxnSpPr/>
        </xdr:nvCxnSpPr>
        <xdr:spPr>
          <a:xfrm flipH="1">
            <a:off x="2595568" y="2724147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7" name="Straight Connector 1896">
            <a:extLst>
              <a:ext uri="{FF2B5EF4-FFF2-40B4-BE49-F238E27FC236}">
                <a16:creationId xmlns:a16="http://schemas.microsoft.com/office/drawing/2014/main" id="{7991A839-09F2-4D55-B3F2-15CB3DBA3E1A}"/>
              </a:ext>
            </a:extLst>
          </xdr:cNvPr>
          <xdr:cNvCxnSpPr/>
        </xdr:nvCxnSpPr>
        <xdr:spPr>
          <a:xfrm flipH="1">
            <a:off x="2700338" y="2724150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8" name="Straight Connector 1897">
            <a:extLst>
              <a:ext uri="{FF2B5EF4-FFF2-40B4-BE49-F238E27FC236}">
                <a16:creationId xmlns:a16="http://schemas.microsoft.com/office/drawing/2014/main" id="{2B3C7574-FD63-458B-A49E-B2BE0A500A0C}"/>
              </a:ext>
            </a:extLst>
          </xdr:cNvPr>
          <xdr:cNvCxnSpPr/>
        </xdr:nvCxnSpPr>
        <xdr:spPr>
          <a:xfrm flipV="1">
            <a:off x="1857375" y="3200400"/>
            <a:ext cx="0" cy="2495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9" name="Straight Connector 1898">
            <a:extLst>
              <a:ext uri="{FF2B5EF4-FFF2-40B4-BE49-F238E27FC236}">
                <a16:creationId xmlns:a16="http://schemas.microsoft.com/office/drawing/2014/main" id="{6D3CFF3D-0E7F-4235-8CF1-BC0E2A9009AC}"/>
              </a:ext>
            </a:extLst>
          </xdr:cNvPr>
          <xdr:cNvCxnSpPr/>
        </xdr:nvCxnSpPr>
        <xdr:spPr>
          <a:xfrm flipV="1">
            <a:off x="3648075" y="3190878"/>
            <a:ext cx="0" cy="2438397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00" name="Arc 1899">
            <a:extLst>
              <a:ext uri="{FF2B5EF4-FFF2-40B4-BE49-F238E27FC236}">
                <a16:creationId xmlns:a16="http://schemas.microsoft.com/office/drawing/2014/main" id="{7C681612-C11C-40FA-B820-08004C23AC9B}"/>
              </a:ext>
            </a:extLst>
          </xdr:cNvPr>
          <xdr:cNvSpPr/>
        </xdr:nvSpPr>
        <xdr:spPr>
          <a:xfrm rot="16200000">
            <a:off x="1857375" y="2324100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01" name="Straight Connector 1900">
            <a:extLst>
              <a:ext uri="{FF2B5EF4-FFF2-40B4-BE49-F238E27FC236}">
                <a16:creationId xmlns:a16="http://schemas.microsoft.com/office/drawing/2014/main" id="{6F01D7FD-837D-417B-BDAB-95A9CF35AD3C}"/>
              </a:ext>
            </a:extLst>
          </xdr:cNvPr>
          <xdr:cNvCxnSpPr/>
        </xdr:nvCxnSpPr>
        <xdr:spPr>
          <a:xfrm>
            <a:off x="1057275" y="6200775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2" name="Straight Connector 1901">
            <a:extLst>
              <a:ext uri="{FF2B5EF4-FFF2-40B4-BE49-F238E27FC236}">
                <a16:creationId xmlns:a16="http://schemas.microsoft.com/office/drawing/2014/main" id="{1B989236-B541-43BC-A2A7-684B2EC06FBF}"/>
              </a:ext>
            </a:extLst>
          </xdr:cNvPr>
          <xdr:cNvCxnSpPr/>
        </xdr:nvCxnSpPr>
        <xdr:spPr>
          <a:xfrm flipH="1">
            <a:off x="1814513" y="615791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3" name="Straight Connector 1902">
            <a:extLst>
              <a:ext uri="{FF2B5EF4-FFF2-40B4-BE49-F238E27FC236}">
                <a16:creationId xmlns:a16="http://schemas.microsoft.com/office/drawing/2014/main" id="{DA75FB66-6753-4BC7-9C26-165AC40C6DC9}"/>
              </a:ext>
            </a:extLst>
          </xdr:cNvPr>
          <xdr:cNvCxnSpPr/>
        </xdr:nvCxnSpPr>
        <xdr:spPr>
          <a:xfrm flipH="1">
            <a:off x="4329114" y="587692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4" name="Straight Connector 1903">
            <a:extLst>
              <a:ext uri="{FF2B5EF4-FFF2-40B4-BE49-F238E27FC236}">
                <a16:creationId xmlns:a16="http://schemas.microsoft.com/office/drawing/2014/main" id="{7928FE37-09B2-4500-8BCF-57AF3E1932F8}"/>
              </a:ext>
            </a:extLst>
          </xdr:cNvPr>
          <xdr:cNvCxnSpPr/>
        </xdr:nvCxnSpPr>
        <xdr:spPr>
          <a:xfrm>
            <a:off x="2181237" y="1271588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5" name="Straight Connector 1904">
            <a:extLst>
              <a:ext uri="{FF2B5EF4-FFF2-40B4-BE49-F238E27FC236}">
                <a16:creationId xmlns:a16="http://schemas.microsoft.com/office/drawing/2014/main" id="{75DB58D9-3E6C-4082-82BC-F2D65202E54A}"/>
              </a:ext>
            </a:extLst>
          </xdr:cNvPr>
          <xdr:cNvCxnSpPr/>
        </xdr:nvCxnSpPr>
        <xdr:spPr>
          <a:xfrm flipH="1">
            <a:off x="2138376" y="12954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6" name="Straight Connector 1905">
            <a:extLst>
              <a:ext uri="{FF2B5EF4-FFF2-40B4-BE49-F238E27FC236}">
                <a16:creationId xmlns:a16="http://schemas.microsoft.com/office/drawing/2014/main" id="{15331DAF-57FC-4D80-B1CA-3F2B279546B9}"/>
              </a:ext>
            </a:extLst>
          </xdr:cNvPr>
          <xdr:cNvCxnSpPr/>
        </xdr:nvCxnSpPr>
        <xdr:spPr>
          <a:xfrm>
            <a:off x="3319474" y="128111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7" name="Straight Connector 1906">
            <a:extLst>
              <a:ext uri="{FF2B5EF4-FFF2-40B4-BE49-F238E27FC236}">
                <a16:creationId xmlns:a16="http://schemas.microsoft.com/office/drawing/2014/main" id="{E5C83AEE-70C6-4376-B501-2CC3DC9DD39F}"/>
              </a:ext>
            </a:extLst>
          </xdr:cNvPr>
          <xdr:cNvCxnSpPr/>
        </xdr:nvCxnSpPr>
        <xdr:spPr>
          <a:xfrm flipH="1">
            <a:off x="3271850" y="130492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8" name="Straight Connector 1907">
            <a:extLst>
              <a:ext uri="{FF2B5EF4-FFF2-40B4-BE49-F238E27FC236}">
                <a16:creationId xmlns:a16="http://schemas.microsoft.com/office/drawing/2014/main" id="{70E5A5B9-897A-4BE0-94CE-2FDB9F4AA966}"/>
              </a:ext>
            </a:extLst>
          </xdr:cNvPr>
          <xdr:cNvCxnSpPr/>
        </xdr:nvCxnSpPr>
        <xdr:spPr>
          <a:xfrm>
            <a:off x="1066799" y="6772274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9" name="Straight Connector 1908">
            <a:extLst>
              <a:ext uri="{FF2B5EF4-FFF2-40B4-BE49-F238E27FC236}">
                <a16:creationId xmlns:a16="http://schemas.microsoft.com/office/drawing/2014/main" id="{BED946D5-CD46-4AA7-94BC-E837FE294EBD}"/>
              </a:ext>
            </a:extLst>
          </xdr:cNvPr>
          <xdr:cNvCxnSpPr/>
        </xdr:nvCxnSpPr>
        <xdr:spPr>
          <a:xfrm flipH="1">
            <a:off x="1090613" y="67341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0" name="Straight Connector 1909">
            <a:extLst>
              <a:ext uri="{FF2B5EF4-FFF2-40B4-BE49-F238E27FC236}">
                <a16:creationId xmlns:a16="http://schemas.microsoft.com/office/drawing/2014/main" id="{828E8F3A-0081-4D5E-B3A9-3D51413CAD68}"/>
              </a:ext>
            </a:extLst>
          </xdr:cNvPr>
          <xdr:cNvCxnSpPr/>
        </xdr:nvCxnSpPr>
        <xdr:spPr>
          <a:xfrm flipH="1">
            <a:off x="4329113" y="67341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1" name="Straight Connector 1910">
            <a:extLst>
              <a:ext uri="{FF2B5EF4-FFF2-40B4-BE49-F238E27FC236}">
                <a16:creationId xmlns:a16="http://schemas.microsoft.com/office/drawing/2014/main" id="{D8F638E6-DAB8-42C5-BC42-C94B16DD391C}"/>
              </a:ext>
            </a:extLst>
          </xdr:cNvPr>
          <xdr:cNvCxnSpPr/>
        </xdr:nvCxnSpPr>
        <xdr:spPr>
          <a:xfrm flipH="1">
            <a:off x="1090612" y="61626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2" name="Straight Connector 1911">
            <a:extLst>
              <a:ext uri="{FF2B5EF4-FFF2-40B4-BE49-F238E27FC236}">
                <a16:creationId xmlns:a16="http://schemas.microsoft.com/office/drawing/2014/main" id="{5DCC8C16-2647-4550-A20A-276530A8102E}"/>
              </a:ext>
            </a:extLst>
          </xdr:cNvPr>
          <xdr:cNvCxnSpPr/>
        </xdr:nvCxnSpPr>
        <xdr:spPr>
          <a:xfrm flipH="1">
            <a:off x="4329112" y="61626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3" name="Straight Connector 1912">
            <a:extLst>
              <a:ext uri="{FF2B5EF4-FFF2-40B4-BE49-F238E27FC236}">
                <a16:creationId xmlns:a16="http://schemas.microsoft.com/office/drawing/2014/main" id="{860929BF-D2C6-49F1-852A-21D0EA75D23E}"/>
              </a:ext>
            </a:extLst>
          </xdr:cNvPr>
          <xdr:cNvCxnSpPr/>
        </xdr:nvCxnSpPr>
        <xdr:spPr>
          <a:xfrm flipH="1">
            <a:off x="2709862" y="616267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4" name="Straight Connector 1913">
            <a:extLst>
              <a:ext uri="{FF2B5EF4-FFF2-40B4-BE49-F238E27FC236}">
                <a16:creationId xmlns:a16="http://schemas.microsoft.com/office/drawing/2014/main" id="{8CF9857E-425A-4A10-95B7-50ABC1908039}"/>
              </a:ext>
            </a:extLst>
          </xdr:cNvPr>
          <xdr:cNvCxnSpPr/>
        </xdr:nvCxnSpPr>
        <xdr:spPr>
          <a:xfrm>
            <a:off x="2762250" y="340042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5" name="Straight Connector 1914">
            <a:extLst>
              <a:ext uri="{FF2B5EF4-FFF2-40B4-BE49-F238E27FC236}">
                <a16:creationId xmlns:a16="http://schemas.microsoft.com/office/drawing/2014/main" id="{D2AF3AFD-5FFB-4C74-8657-BA01383EF66B}"/>
              </a:ext>
            </a:extLst>
          </xdr:cNvPr>
          <xdr:cNvCxnSpPr/>
        </xdr:nvCxnSpPr>
        <xdr:spPr>
          <a:xfrm>
            <a:off x="2938462" y="3057525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16" name="Oval 1915">
            <a:extLst>
              <a:ext uri="{FF2B5EF4-FFF2-40B4-BE49-F238E27FC236}">
                <a16:creationId xmlns:a16="http://schemas.microsoft.com/office/drawing/2014/main" id="{C5F6846D-1B90-4D7C-B821-8D7BB4308CDC}"/>
              </a:ext>
            </a:extLst>
          </xdr:cNvPr>
          <xdr:cNvSpPr/>
        </xdr:nvSpPr>
        <xdr:spPr>
          <a:xfrm>
            <a:off x="2729866" y="317277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17" name="Straight Connector 1916">
            <a:extLst>
              <a:ext uri="{FF2B5EF4-FFF2-40B4-BE49-F238E27FC236}">
                <a16:creationId xmlns:a16="http://schemas.microsoft.com/office/drawing/2014/main" id="{379A6BB2-0BC4-44E8-8F40-DDC2824C0570}"/>
              </a:ext>
            </a:extLst>
          </xdr:cNvPr>
          <xdr:cNvCxnSpPr/>
        </xdr:nvCxnSpPr>
        <xdr:spPr>
          <a:xfrm>
            <a:off x="2195513" y="3200400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8" name="Straight Connector 1917">
            <a:extLst>
              <a:ext uri="{FF2B5EF4-FFF2-40B4-BE49-F238E27FC236}">
                <a16:creationId xmlns:a16="http://schemas.microsoft.com/office/drawing/2014/main" id="{C9EE15B3-25E3-46FF-9834-9F4C3177E1E6}"/>
              </a:ext>
            </a:extLst>
          </xdr:cNvPr>
          <xdr:cNvCxnSpPr/>
        </xdr:nvCxnSpPr>
        <xdr:spPr>
          <a:xfrm flipV="1">
            <a:off x="2266950" y="3000375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9" name="Straight Connector 1918">
            <a:extLst>
              <a:ext uri="{FF2B5EF4-FFF2-40B4-BE49-F238E27FC236}">
                <a16:creationId xmlns:a16="http://schemas.microsoft.com/office/drawing/2014/main" id="{4DB07D9F-E15F-4152-AE0E-996226FB193C}"/>
              </a:ext>
            </a:extLst>
          </xdr:cNvPr>
          <xdr:cNvCxnSpPr/>
        </xdr:nvCxnSpPr>
        <xdr:spPr>
          <a:xfrm flipH="1">
            <a:off x="2190750" y="305752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0" name="Straight Connector 1919">
            <a:extLst>
              <a:ext uri="{FF2B5EF4-FFF2-40B4-BE49-F238E27FC236}">
                <a16:creationId xmlns:a16="http://schemas.microsoft.com/office/drawing/2014/main" id="{4B3208FE-3653-49C6-BE80-6157326A9947}"/>
              </a:ext>
            </a:extLst>
          </xdr:cNvPr>
          <xdr:cNvCxnSpPr/>
        </xdr:nvCxnSpPr>
        <xdr:spPr>
          <a:xfrm flipH="1">
            <a:off x="2224088" y="3024188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1" name="Straight Connector 1920">
            <a:extLst>
              <a:ext uri="{FF2B5EF4-FFF2-40B4-BE49-F238E27FC236}">
                <a16:creationId xmlns:a16="http://schemas.microsoft.com/office/drawing/2014/main" id="{E38D50B7-11E3-4652-BF8C-A7447A715484}"/>
              </a:ext>
            </a:extLst>
          </xdr:cNvPr>
          <xdr:cNvCxnSpPr/>
        </xdr:nvCxnSpPr>
        <xdr:spPr>
          <a:xfrm flipH="1">
            <a:off x="2228850" y="3162300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2" name="Straight Connector 1921">
            <a:extLst>
              <a:ext uri="{FF2B5EF4-FFF2-40B4-BE49-F238E27FC236}">
                <a16:creationId xmlns:a16="http://schemas.microsoft.com/office/drawing/2014/main" id="{D3D1F060-229E-4297-968B-69DDE714CE68}"/>
              </a:ext>
            </a:extLst>
          </xdr:cNvPr>
          <xdr:cNvCxnSpPr/>
        </xdr:nvCxnSpPr>
        <xdr:spPr>
          <a:xfrm flipH="1">
            <a:off x="3190874" y="335756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3" name="Straight Connector 1922">
            <a:extLst>
              <a:ext uri="{FF2B5EF4-FFF2-40B4-BE49-F238E27FC236}">
                <a16:creationId xmlns:a16="http://schemas.microsoft.com/office/drawing/2014/main" id="{BE62663D-DC7F-4E9B-8D37-B3D97C9F8BDD}"/>
              </a:ext>
            </a:extLst>
          </xdr:cNvPr>
          <xdr:cNvCxnSpPr/>
        </xdr:nvCxnSpPr>
        <xdr:spPr>
          <a:xfrm>
            <a:off x="2767012" y="361950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4" name="Straight Connector 1923">
            <a:extLst>
              <a:ext uri="{FF2B5EF4-FFF2-40B4-BE49-F238E27FC236}">
                <a16:creationId xmlns:a16="http://schemas.microsoft.com/office/drawing/2014/main" id="{F546C4D1-85F4-44CA-8DE0-AD7A64E02504}"/>
              </a:ext>
            </a:extLst>
          </xdr:cNvPr>
          <xdr:cNvCxnSpPr/>
        </xdr:nvCxnSpPr>
        <xdr:spPr>
          <a:xfrm flipH="1">
            <a:off x="3195636" y="35766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5" name="Straight Connector 1924">
            <a:extLst>
              <a:ext uri="{FF2B5EF4-FFF2-40B4-BE49-F238E27FC236}">
                <a16:creationId xmlns:a16="http://schemas.microsoft.com/office/drawing/2014/main" id="{F829160D-CFD0-4F4C-A3EA-FA1ED8A2626D}"/>
              </a:ext>
            </a:extLst>
          </xdr:cNvPr>
          <xdr:cNvCxnSpPr/>
        </xdr:nvCxnSpPr>
        <xdr:spPr>
          <a:xfrm>
            <a:off x="2762249" y="39290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6" name="Straight Connector 1925">
            <a:extLst>
              <a:ext uri="{FF2B5EF4-FFF2-40B4-BE49-F238E27FC236}">
                <a16:creationId xmlns:a16="http://schemas.microsoft.com/office/drawing/2014/main" id="{B312F002-3BF3-4BB0-B0DE-D31DC3078BD4}"/>
              </a:ext>
            </a:extLst>
          </xdr:cNvPr>
          <xdr:cNvCxnSpPr/>
        </xdr:nvCxnSpPr>
        <xdr:spPr>
          <a:xfrm flipH="1">
            <a:off x="3190873" y="38862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7" name="Straight Connector 1926">
            <a:extLst>
              <a:ext uri="{FF2B5EF4-FFF2-40B4-BE49-F238E27FC236}">
                <a16:creationId xmlns:a16="http://schemas.microsoft.com/office/drawing/2014/main" id="{E77AEDCF-4DD7-4EEF-B23C-FD5E3CEE333D}"/>
              </a:ext>
            </a:extLst>
          </xdr:cNvPr>
          <xdr:cNvCxnSpPr/>
        </xdr:nvCxnSpPr>
        <xdr:spPr>
          <a:xfrm>
            <a:off x="2762248" y="43100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8" name="Straight Connector 1927">
            <a:extLst>
              <a:ext uri="{FF2B5EF4-FFF2-40B4-BE49-F238E27FC236}">
                <a16:creationId xmlns:a16="http://schemas.microsoft.com/office/drawing/2014/main" id="{2668F5E2-D5AA-4964-A2CE-0CA0E73A41C4}"/>
              </a:ext>
            </a:extLst>
          </xdr:cNvPr>
          <xdr:cNvCxnSpPr/>
        </xdr:nvCxnSpPr>
        <xdr:spPr>
          <a:xfrm flipH="1">
            <a:off x="3190872" y="42672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9" name="Straight Connector 1928">
            <a:extLst>
              <a:ext uri="{FF2B5EF4-FFF2-40B4-BE49-F238E27FC236}">
                <a16:creationId xmlns:a16="http://schemas.microsoft.com/office/drawing/2014/main" id="{E4358BEE-906F-4915-B6EA-5718807D7869}"/>
              </a:ext>
            </a:extLst>
          </xdr:cNvPr>
          <xdr:cNvCxnSpPr/>
        </xdr:nvCxnSpPr>
        <xdr:spPr>
          <a:xfrm>
            <a:off x="2767010" y="452437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0" name="Straight Connector 1929">
            <a:extLst>
              <a:ext uri="{FF2B5EF4-FFF2-40B4-BE49-F238E27FC236}">
                <a16:creationId xmlns:a16="http://schemas.microsoft.com/office/drawing/2014/main" id="{DAFB5F57-2818-4ABD-A9E1-FEAEC67ED4D2}"/>
              </a:ext>
            </a:extLst>
          </xdr:cNvPr>
          <xdr:cNvCxnSpPr/>
        </xdr:nvCxnSpPr>
        <xdr:spPr>
          <a:xfrm flipH="1">
            <a:off x="3195634" y="448151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1" name="Straight Connector 1930">
            <a:extLst>
              <a:ext uri="{FF2B5EF4-FFF2-40B4-BE49-F238E27FC236}">
                <a16:creationId xmlns:a16="http://schemas.microsoft.com/office/drawing/2014/main" id="{BF3037D3-AE88-4094-B7FB-8625A8BB7704}"/>
              </a:ext>
            </a:extLst>
          </xdr:cNvPr>
          <xdr:cNvCxnSpPr/>
        </xdr:nvCxnSpPr>
        <xdr:spPr>
          <a:xfrm>
            <a:off x="2757485" y="47767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2" name="Straight Connector 1931">
            <a:extLst>
              <a:ext uri="{FF2B5EF4-FFF2-40B4-BE49-F238E27FC236}">
                <a16:creationId xmlns:a16="http://schemas.microsoft.com/office/drawing/2014/main" id="{54E2F7FE-8A05-43CE-9D93-CDDDF1EDCBA5}"/>
              </a:ext>
            </a:extLst>
          </xdr:cNvPr>
          <xdr:cNvCxnSpPr/>
        </xdr:nvCxnSpPr>
        <xdr:spPr>
          <a:xfrm flipH="1">
            <a:off x="3186109" y="47339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3" name="Straight Connector 1932">
            <a:extLst>
              <a:ext uri="{FF2B5EF4-FFF2-40B4-BE49-F238E27FC236}">
                <a16:creationId xmlns:a16="http://schemas.microsoft.com/office/drawing/2014/main" id="{75D8A8AF-42A3-44FE-9E48-E4A9D9425CFC}"/>
              </a:ext>
            </a:extLst>
          </xdr:cNvPr>
          <xdr:cNvCxnSpPr/>
        </xdr:nvCxnSpPr>
        <xdr:spPr>
          <a:xfrm>
            <a:off x="2762248" y="406241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4" name="Straight Connector 1933">
            <a:extLst>
              <a:ext uri="{FF2B5EF4-FFF2-40B4-BE49-F238E27FC236}">
                <a16:creationId xmlns:a16="http://schemas.microsoft.com/office/drawing/2014/main" id="{3641D497-6577-4BDC-901F-D69171123FEA}"/>
              </a:ext>
            </a:extLst>
          </xdr:cNvPr>
          <xdr:cNvCxnSpPr/>
        </xdr:nvCxnSpPr>
        <xdr:spPr>
          <a:xfrm flipH="1">
            <a:off x="3190872" y="40195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5" name="Straight Connector 1934">
            <a:extLst>
              <a:ext uri="{FF2B5EF4-FFF2-40B4-BE49-F238E27FC236}">
                <a16:creationId xmlns:a16="http://schemas.microsoft.com/office/drawing/2014/main" id="{160D0115-C207-42C6-8258-1553FAE94DAD}"/>
              </a:ext>
            </a:extLst>
          </xdr:cNvPr>
          <xdr:cNvCxnSpPr/>
        </xdr:nvCxnSpPr>
        <xdr:spPr>
          <a:xfrm>
            <a:off x="2762248" y="377190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6" name="Straight Connector 1935">
            <a:extLst>
              <a:ext uri="{FF2B5EF4-FFF2-40B4-BE49-F238E27FC236}">
                <a16:creationId xmlns:a16="http://schemas.microsoft.com/office/drawing/2014/main" id="{39777DD1-78D4-4D73-BE92-23286A144239}"/>
              </a:ext>
            </a:extLst>
          </xdr:cNvPr>
          <xdr:cNvCxnSpPr/>
        </xdr:nvCxnSpPr>
        <xdr:spPr>
          <a:xfrm flipH="1">
            <a:off x="3190872" y="37290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37" name="Oval 1936">
            <a:extLst>
              <a:ext uri="{FF2B5EF4-FFF2-40B4-BE49-F238E27FC236}">
                <a16:creationId xmlns:a16="http://schemas.microsoft.com/office/drawing/2014/main" id="{8851A896-10F2-4F86-826C-7F1F59AEC247}"/>
              </a:ext>
            </a:extLst>
          </xdr:cNvPr>
          <xdr:cNvSpPr/>
        </xdr:nvSpPr>
        <xdr:spPr>
          <a:xfrm>
            <a:off x="1833563" y="3171825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38" name="Oval 1937">
            <a:extLst>
              <a:ext uri="{FF2B5EF4-FFF2-40B4-BE49-F238E27FC236}">
                <a16:creationId xmlns:a16="http://schemas.microsoft.com/office/drawing/2014/main" id="{CE1F4FD4-B06C-4C8B-8F12-1D0C58BBBB5A}"/>
              </a:ext>
            </a:extLst>
          </xdr:cNvPr>
          <xdr:cNvSpPr/>
        </xdr:nvSpPr>
        <xdr:spPr>
          <a:xfrm>
            <a:off x="3624263" y="317658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39" name="Straight Connector 1938">
            <a:extLst>
              <a:ext uri="{FF2B5EF4-FFF2-40B4-BE49-F238E27FC236}">
                <a16:creationId xmlns:a16="http://schemas.microsoft.com/office/drawing/2014/main" id="{32A2CAD2-05C6-4A35-9A06-08F214E59AA3}"/>
              </a:ext>
            </a:extLst>
          </xdr:cNvPr>
          <xdr:cNvCxnSpPr/>
        </xdr:nvCxnSpPr>
        <xdr:spPr>
          <a:xfrm>
            <a:off x="4781550" y="3057525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0" name="Straight Connector 1939">
            <a:extLst>
              <a:ext uri="{FF2B5EF4-FFF2-40B4-BE49-F238E27FC236}">
                <a16:creationId xmlns:a16="http://schemas.microsoft.com/office/drawing/2014/main" id="{84A89FCE-BC1E-4974-AE4E-10A8C9226BBA}"/>
              </a:ext>
            </a:extLst>
          </xdr:cNvPr>
          <xdr:cNvCxnSpPr/>
        </xdr:nvCxnSpPr>
        <xdr:spPr>
          <a:xfrm>
            <a:off x="5019675" y="1552575"/>
            <a:ext cx="0" cy="42005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1" name="Straight Connector 1940">
            <a:extLst>
              <a:ext uri="{FF2B5EF4-FFF2-40B4-BE49-F238E27FC236}">
                <a16:creationId xmlns:a16="http://schemas.microsoft.com/office/drawing/2014/main" id="{6C1A0A30-3F54-41FF-A54A-1095374FEE85}"/>
              </a:ext>
            </a:extLst>
          </xdr:cNvPr>
          <xdr:cNvCxnSpPr/>
        </xdr:nvCxnSpPr>
        <xdr:spPr>
          <a:xfrm flipH="1">
            <a:off x="4981576" y="5581643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2" name="Straight Connector 1941">
            <a:extLst>
              <a:ext uri="{FF2B5EF4-FFF2-40B4-BE49-F238E27FC236}">
                <a16:creationId xmlns:a16="http://schemas.microsoft.com/office/drawing/2014/main" id="{CF41F4E3-F9ED-4E7F-9B62-F029C30565C5}"/>
              </a:ext>
            </a:extLst>
          </xdr:cNvPr>
          <xdr:cNvCxnSpPr/>
        </xdr:nvCxnSpPr>
        <xdr:spPr>
          <a:xfrm flipH="1">
            <a:off x="4976814" y="30146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3" name="Straight Connector 1942">
            <a:extLst>
              <a:ext uri="{FF2B5EF4-FFF2-40B4-BE49-F238E27FC236}">
                <a16:creationId xmlns:a16="http://schemas.microsoft.com/office/drawing/2014/main" id="{6B8C2658-E155-4262-88A2-2CBC40393A49}"/>
              </a:ext>
            </a:extLst>
          </xdr:cNvPr>
          <xdr:cNvCxnSpPr/>
        </xdr:nvCxnSpPr>
        <xdr:spPr>
          <a:xfrm>
            <a:off x="3509962" y="3057525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4" name="Straight Connector 1943">
            <a:extLst>
              <a:ext uri="{FF2B5EF4-FFF2-40B4-BE49-F238E27FC236}">
                <a16:creationId xmlns:a16="http://schemas.microsoft.com/office/drawing/2014/main" id="{1BF9A53E-644C-4004-8B72-A5D2A9514B5D}"/>
              </a:ext>
            </a:extLst>
          </xdr:cNvPr>
          <xdr:cNvCxnSpPr/>
        </xdr:nvCxnSpPr>
        <xdr:spPr>
          <a:xfrm>
            <a:off x="4410075" y="3057525"/>
            <a:ext cx="2571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5" name="Straight Connector 1944">
            <a:extLst>
              <a:ext uri="{FF2B5EF4-FFF2-40B4-BE49-F238E27FC236}">
                <a16:creationId xmlns:a16="http://schemas.microsoft.com/office/drawing/2014/main" id="{A13E4FA6-6919-4C61-BECB-4A6660FF41F4}"/>
              </a:ext>
            </a:extLst>
          </xdr:cNvPr>
          <xdr:cNvCxnSpPr/>
        </xdr:nvCxnSpPr>
        <xdr:spPr>
          <a:xfrm flipH="1">
            <a:off x="4976813" y="1581150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6" name="Straight Connector 1945">
            <a:extLst>
              <a:ext uri="{FF2B5EF4-FFF2-40B4-BE49-F238E27FC236}">
                <a16:creationId xmlns:a16="http://schemas.microsoft.com/office/drawing/2014/main" id="{8F21F790-4B22-4E03-B1AB-A63B1B9598ED}"/>
              </a:ext>
            </a:extLst>
          </xdr:cNvPr>
          <xdr:cNvCxnSpPr/>
        </xdr:nvCxnSpPr>
        <xdr:spPr>
          <a:xfrm>
            <a:off x="1147763" y="5010150"/>
            <a:ext cx="1609725" cy="4727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7" name="Straight Connector 1946">
            <a:extLst>
              <a:ext uri="{FF2B5EF4-FFF2-40B4-BE49-F238E27FC236}">
                <a16:creationId xmlns:a16="http://schemas.microsoft.com/office/drawing/2014/main" id="{166BCAE5-97D2-44AD-B7D9-E482F70A5C1F}"/>
              </a:ext>
            </a:extLst>
          </xdr:cNvPr>
          <xdr:cNvCxnSpPr/>
        </xdr:nvCxnSpPr>
        <xdr:spPr>
          <a:xfrm flipH="1" flipV="1">
            <a:off x="1138238" y="5000625"/>
            <a:ext cx="1457325" cy="4761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8" name="Straight Connector 1947">
            <a:extLst>
              <a:ext uri="{FF2B5EF4-FFF2-40B4-BE49-F238E27FC236}">
                <a16:creationId xmlns:a16="http://schemas.microsoft.com/office/drawing/2014/main" id="{C2E58ECE-50E2-43C5-A401-FE08BA79FDBC}"/>
              </a:ext>
            </a:extLst>
          </xdr:cNvPr>
          <xdr:cNvCxnSpPr/>
        </xdr:nvCxnSpPr>
        <xdr:spPr>
          <a:xfrm flipH="1">
            <a:off x="2919413" y="5005388"/>
            <a:ext cx="1447800" cy="4285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9" name="Straight Connector 1948">
            <a:extLst>
              <a:ext uri="{FF2B5EF4-FFF2-40B4-BE49-F238E27FC236}">
                <a16:creationId xmlns:a16="http://schemas.microsoft.com/office/drawing/2014/main" id="{41A38191-794D-425A-A76A-A40E1452534F}"/>
              </a:ext>
            </a:extLst>
          </xdr:cNvPr>
          <xdr:cNvCxnSpPr/>
        </xdr:nvCxnSpPr>
        <xdr:spPr>
          <a:xfrm>
            <a:off x="2762248" y="50577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0" name="Straight Connector 1949">
            <a:extLst>
              <a:ext uri="{FF2B5EF4-FFF2-40B4-BE49-F238E27FC236}">
                <a16:creationId xmlns:a16="http://schemas.microsoft.com/office/drawing/2014/main" id="{C28893FA-1347-4844-986A-7521CE2E59CD}"/>
              </a:ext>
            </a:extLst>
          </xdr:cNvPr>
          <xdr:cNvCxnSpPr/>
        </xdr:nvCxnSpPr>
        <xdr:spPr>
          <a:xfrm flipH="1">
            <a:off x="3190872" y="5300671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1" name="Straight Connector 1950">
            <a:extLst>
              <a:ext uri="{FF2B5EF4-FFF2-40B4-BE49-F238E27FC236}">
                <a16:creationId xmlns:a16="http://schemas.microsoft.com/office/drawing/2014/main" id="{C9508F4C-25D4-4218-8DEA-2FDB6F8CFAAB}"/>
              </a:ext>
            </a:extLst>
          </xdr:cNvPr>
          <xdr:cNvCxnSpPr/>
        </xdr:nvCxnSpPr>
        <xdr:spPr>
          <a:xfrm flipH="1">
            <a:off x="728663" y="497681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2" name="Straight Connector 1951">
            <a:extLst>
              <a:ext uri="{FF2B5EF4-FFF2-40B4-BE49-F238E27FC236}">
                <a16:creationId xmlns:a16="http://schemas.microsoft.com/office/drawing/2014/main" id="{2A2B8851-F3C8-490F-8696-18B99E03CCEE}"/>
              </a:ext>
            </a:extLst>
          </xdr:cNvPr>
          <xdr:cNvCxnSpPr/>
        </xdr:nvCxnSpPr>
        <xdr:spPr>
          <a:xfrm flipH="1">
            <a:off x="766763" y="493872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5" name="Straight Connector 1954">
            <a:extLst>
              <a:ext uri="{FF2B5EF4-FFF2-40B4-BE49-F238E27FC236}">
                <a16:creationId xmlns:a16="http://schemas.microsoft.com/office/drawing/2014/main" id="{9AA43AD6-64B5-4207-B73F-92E1F86CAD92}"/>
              </a:ext>
            </a:extLst>
          </xdr:cNvPr>
          <xdr:cNvCxnSpPr/>
        </xdr:nvCxnSpPr>
        <xdr:spPr>
          <a:xfrm flipH="1">
            <a:off x="3190872" y="5586421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6" name="Straight Connector 1955">
            <a:extLst>
              <a:ext uri="{FF2B5EF4-FFF2-40B4-BE49-F238E27FC236}">
                <a16:creationId xmlns:a16="http://schemas.microsoft.com/office/drawing/2014/main" id="{291FED78-7860-4328-ABD0-F9BA295D2E47}"/>
              </a:ext>
            </a:extLst>
          </xdr:cNvPr>
          <xdr:cNvCxnSpPr/>
        </xdr:nvCxnSpPr>
        <xdr:spPr>
          <a:xfrm>
            <a:off x="1143000" y="5310188"/>
            <a:ext cx="1609725" cy="3298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7" name="Straight Connector 1956">
            <a:extLst>
              <a:ext uri="{FF2B5EF4-FFF2-40B4-BE49-F238E27FC236}">
                <a16:creationId xmlns:a16="http://schemas.microsoft.com/office/drawing/2014/main" id="{2DE070FA-E8E9-4ADE-B39D-615401193D50}"/>
              </a:ext>
            </a:extLst>
          </xdr:cNvPr>
          <xdr:cNvCxnSpPr/>
        </xdr:nvCxnSpPr>
        <xdr:spPr>
          <a:xfrm flipH="1" flipV="1">
            <a:off x="1138238" y="5314950"/>
            <a:ext cx="1452563" cy="1904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8" name="Straight Connector 1957">
            <a:extLst>
              <a:ext uri="{FF2B5EF4-FFF2-40B4-BE49-F238E27FC236}">
                <a16:creationId xmlns:a16="http://schemas.microsoft.com/office/drawing/2014/main" id="{04B42347-A2CF-49A5-B1F3-4057F9BFD0EB}"/>
              </a:ext>
            </a:extLst>
          </xdr:cNvPr>
          <xdr:cNvCxnSpPr/>
        </xdr:nvCxnSpPr>
        <xdr:spPr>
          <a:xfrm flipH="1">
            <a:off x="2933700" y="5310188"/>
            <a:ext cx="1443038" cy="3333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9" name="Straight Connector 1958">
            <a:extLst>
              <a:ext uri="{FF2B5EF4-FFF2-40B4-BE49-F238E27FC236}">
                <a16:creationId xmlns:a16="http://schemas.microsoft.com/office/drawing/2014/main" id="{81B4E1B7-351D-4C39-8814-355CF8F882EA}"/>
              </a:ext>
            </a:extLst>
          </xdr:cNvPr>
          <xdr:cNvCxnSpPr/>
        </xdr:nvCxnSpPr>
        <xdr:spPr>
          <a:xfrm>
            <a:off x="2757485" y="534352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0" name="Straight Connector 1959">
            <a:extLst>
              <a:ext uri="{FF2B5EF4-FFF2-40B4-BE49-F238E27FC236}">
                <a16:creationId xmlns:a16="http://schemas.microsoft.com/office/drawing/2014/main" id="{22A3111A-3CB0-4100-B9E4-4AFD276489C5}"/>
              </a:ext>
            </a:extLst>
          </xdr:cNvPr>
          <xdr:cNvCxnSpPr/>
        </xdr:nvCxnSpPr>
        <xdr:spPr>
          <a:xfrm flipH="1">
            <a:off x="723900" y="5314956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1" name="Straight Connector 1960">
            <a:extLst>
              <a:ext uri="{FF2B5EF4-FFF2-40B4-BE49-F238E27FC236}">
                <a16:creationId xmlns:a16="http://schemas.microsoft.com/office/drawing/2014/main" id="{D0A7764D-315F-4336-A143-E82AD02AC9DF}"/>
              </a:ext>
            </a:extLst>
          </xdr:cNvPr>
          <xdr:cNvCxnSpPr/>
        </xdr:nvCxnSpPr>
        <xdr:spPr>
          <a:xfrm flipH="1">
            <a:off x="762000" y="527685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33</xdr:col>
      <xdr:colOff>22436</xdr:colOff>
      <xdr:row>214</xdr:row>
      <xdr:rowOff>38100</xdr:rowOff>
    </xdr:from>
    <xdr:to>
      <xdr:col>54</xdr:col>
      <xdr:colOff>44239</xdr:colOff>
      <xdr:row>224</xdr:row>
      <xdr:rowOff>85726</xdr:rowOff>
    </xdr:to>
    <xdr:pic>
      <xdr:nvPicPr>
        <xdr:cNvPr id="1962" name="Picture 1961">
          <a:extLst>
            <a:ext uri="{FF2B5EF4-FFF2-40B4-BE49-F238E27FC236}">
              <a16:creationId xmlns:a16="http://schemas.microsoft.com/office/drawing/2014/main" id="{3674974E-BDC6-4282-B0D8-C1C042D13C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63" t="32253" r="31412" b="32548"/>
        <a:stretch/>
      </xdr:blipFill>
      <xdr:spPr bwMode="auto">
        <a:xfrm>
          <a:off x="5365961" y="52063650"/>
          <a:ext cx="3422228" cy="1476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123825</xdr:colOff>
      <xdr:row>252</xdr:row>
      <xdr:rowOff>47625</xdr:rowOff>
    </xdr:from>
    <xdr:to>
      <xdr:col>57</xdr:col>
      <xdr:colOff>142875</xdr:colOff>
      <xdr:row>253</xdr:row>
      <xdr:rowOff>66675</xdr:rowOff>
    </xdr:to>
    <xdr:cxnSp macro="">
      <xdr:nvCxnSpPr>
        <xdr:cNvPr id="1797" name="Straight Arrow Connector 1796">
          <a:extLst>
            <a:ext uri="{FF2B5EF4-FFF2-40B4-BE49-F238E27FC236}">
              <a16:creationId xmlns:a16="http://schemas.microsoft.com/office/drawing/2014/main" id="{893C4243-6F59-4B0E-BC67-6A65F7860CDA}"/>
            </a:ext>
          </a:extLst>
        </xdr:cNvPr>
        <xdr:cNvCxnSpPr/>
      </xdr:nvCxnSpPr>
      <xdr:spPr>
        <a:xfrm flipH="1" flipV="1">
          <a:off x="9029700" y="8458200"/>
          <a:ext cx="34290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85725</xdr:colOff>
      <xdr:row>277</xdr:row>
      <xdr:rowOff>66675</xdr:rowOff>
    </xdr:from>
    <xdr:to>
      <xdr:col>47</xdr:col>
      <xdr:colOff>8164</xdr:colOff>
      <xdr:row>283</xdr:row>
      <xdr:rowOff>1360</xdr:rowOff>
    </xdr:to>
    <xdr:grpSp>
      <xdr:nvGrpSpPr>
        <xdr:cNvPr id="1953" name="Group 1952">
          <a:extLst>
            <a:ext uri="{FF2B5EF4-FFF2-40B4-BE49-F238E27FC236}">
              <a16:creationId xmlns:a16="http://schemas.microsoft.com/office/drawing/2014/main" id="{390ED29C-4E64-41D0-8C2A-856B853225C2}"/>
            </a:ext>
          </a:extLst>
        </xdr:cNvPr>
        <xdr:cNvGrpSpPr/>
      </xdr:nvGrpSpPr>
      <xdr:grpSpPr>
        <a:xfrm>
          <a:off x="5915025" y="42605325"/>
          <a:ext cx="1703614" cy="791935"/>
          <a:chOff x="6076950" y="10163175"/>
          <a:chExt cx="1703614" cy="791935"/>
        </a:xfrm>
      </xdr:grpSpPr>
      <xdr:sp macro="" textlink="">
        <xdr:nvSpPr>
          <xdr:cNvPr id="1954" name="Freeform: Shape 1953">
            <a:extLst>
              <a:ext uri="{FF2B5EF4-FFF2-40B4-BE49-F238E27FC236}">
                <a16:creationId xmlns:a16="http://schemas.microsoft.com/office/drawing/2014/main" id="{1740C6E4-22DC-4CDA-AE34-249049C68E33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63" name="Freeform: Shape 1962">
            <a:extLst>
              <a:ext uri="{FF2B5EF4-FFF2-40B4-BE49-F238E27FC236}">
                <a16:creationId xmlns:a16="http://schemas.microsoft.com/office/drawing/2014/main" id="{8C066800-1294-44C1-9DB9-F62CF64A5CEA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64" name="Freeform: Shape 1963">
            <a:extLst>
              <a:ext uri="{FF2B5EF4-FFF2-40B4-BE49-F238E27FC236}">
                <a16:creationId xmlns:a16="http://schemas.microsoft.com/office/drawing/2014/main" id="{31FC72D5-3AFE-476D-81FD-2DED32135FA1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965" name="Straight Connector 1964">
            <a:extLst>
              <a:ext uri="{FF2B5EF4-FFF2-40B4-BE49-F238E27FC236}">
                <a16:creationId xmlns:a16="http://schemas.microsoft.com/office/drawing/2014/main" id="{F17F749C-F17B-4B65-AC87-0AB909C01DB8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6" name="Straight Connector 1965">
            <a:extLst>
              <a:ext uri="{FF2B5EF4-FFF2-40B4-BE49-F238E27FC236}">
                <a16:creationId xmlns:a16="http://schemas.microsoft.com/office/drawing/2014/main" id="{ED1E31B5-7A40-4B4E-A32C-375B1622CBFD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7" name="Straight Connector 1966">
            <a:extLst>
              <a:ext uri="{FF2B5EF4-FFF2-40B4-BE49-F238E27FC236}">
                <a16:creationId xmlns:a16="http://schemas.microsoft.com/office/drawing/2014/main" id="{3DBF25D1-AA16-490A-B309-5ECAE9683630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8" name="Straight Connector 1967">
            <a:extLst>
              <a:ext uri="{FF2B5EF4-FFF2-40B4-BE49-F238E27FC236}">
                <a16:creationId xmlns:a16="http://schemas.microsoft.com/office/drawing/2014/main" id="{8B82057B-0E50-4682-A3DA-9A7810B9BF0C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9" name="Straight Connector 1968">
            <a:extLst>
              <a:ext uri="{FF2B5EF4-FFF2-40B4-BE49-F238E27FC236}">
                <a16:creationId xmlns:a16="http://schemas.microsoft.com/office/drawing/2014/main" id="{591FA372-1D17-487D-B965-40C509064313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0" name="Straight Connector 1969">
            <a:extLst>
              <a:ext uri="{FF2B5EF4-FFF2-40B4-BE49-F238E27FC236}">
                <a16:creationId xmlns:a16="http://schemas.microsoft.com/office/drawing/2014/main" id="{2F425176-239A-461E-8118-9D760BFA4954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1" name="Straight Connector 1970">
            <a:extLst>
              <a:ext uri="{FF2B5EF4-FFF2-40B4-BE49-F238E27FC236}">
                <a16:creationId xmlns:a16="http://schemas.microsoft.com/office/drawing/2014/main" id="{4FFCF4A0-D46C-4767-A166-41371B814D57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2" name="Straight Connector 1971">
            <a:extLst>
              <a:ext uri="{FF2B5EF4-FFF2-40B4-BE49-F238E27FC236}">
                <a16:creationId xmlns:a16="http://schemas.microsoft.com/office/drawing/2014/main" id="{783589DB-29AF-43EF-A40A-EC6CE2BA3471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3" name="Straight Connector 1972">
            <a:extLst>
              <a:ext uri="{FF2B5EF4-FFF2-40B4-BE49-F238E27FC236}">
                <a16:creationId xmlns:a16="http://schemas.microsoft.com/office/drawing/2014/main" id="{BDB61849-5AA2-4CA8-8FBD-793AA34591CA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4" name="Straight Connector 1973">
            <a:extLst>
              <a:ext uri="{FF2B5EF4-FFF2-40B4-BE49-F238E27FC236}">
                <a16:creationId xmlns:a16="http://schemas.microsoft.com/office/drawing/2014/main" id="{F86D261B-A6AE-444E-B051-620876B6DB25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75" name="Freeform: Shape 1974">
            <a:extLst>
              <a:ext uri="{FF2B5EF4-FFF2-40B4-BE49-F238E27FC236}">
                <a16:creationId xmlns:a16="http://schemas.microsoft.com/office/drawing/2014/main" id="{AF61EDA4-638D-44FE-BBD3-CD7DBE1EAA16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246</xdr:row>
      <xdr:rowOff>61913</xdr:rowOff>
    </xdr:from>
    <xdr:to>
      <xdr:col>31</xdr:col>
      <xdr:colOff>90488</xdr:colOff>
      <xdr:row>286</xdr:row>
      <xdr:rowOff>85725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207BCC2A-B061-4596-86F7-87B928376F25}"/>
            </a:ext>
          </a:extLst>
        </xdr:cNvPr>
        <xdr:cNvGrpSpPr/>
      </xdr:nvGrpSpPr>
      <xdr:grpSpPr>
        <a:xfrm>
          <a:off x="395288" y="38171438"/>
          <a:ext cx="4714875" cy="5738812"/>
          <a:chOff x="395288" y="57154763"/>
          <a:chExt cx="4714875" cy="5738812"/>
        </a:xfrm>
      </xdr:grpSpPr>
      <xdr:cxnSp macro="">
        <xdr:nvCxnSpPr>
          <xdr:cNvPr id="1977" name="Straight Connector 1976">
            <a:extLst>
              <a:ext uri="{FF2B5EF4-FFF2-40B4-BE49-F238E27FC236}">
                <a16:creationId xmlns:a16="http://schemas.microsoft.com/office/drawing/2014/main" id="{2EE1D683-115B-493B-8940-A42A4BA447AA}"/>
              </a:ext>
            </a:extLst>
          </xdr:cNvPr>
          <xdr:cNvCxnSpPr/>
        </xdr:nvCxnSpPr>
        <xdr:spPr>
          <a:xfrm flipH="1">
            <a:off x="2757488" y="57811988"/>
            <a:ext cx="319087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8" name="Straight Connector 1977">
            <a:extLst>
              <a:ext uri="{FF2B5EF4-FFF2-40B4-BE49-F238E27FC236}">
                <a16:creationId xmlns:a16="http://schemas.microsoft.com/office/drawing/2014/main" id="{FEEFF969-4A7F-4CB4-95C8-888537BE5C03}"/>
              </a:ext>
            </a:extLst>
          </xdr:cNvPr>
          <xdr:cNvCxnSpPr/>
        </xdr:nvCxnSpPr>
        <xdr:spPr>
          <a:xfrm>
            <a:off x="1938338" y="57816750"/>
            <a:ext cx="809625" cy="1975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9" name="Straight Connector 1978">
            <a:extLst>
              <a:ext uri="{FF2B5EF4-FFF2-40B4-BE49-F238E27FC236}">
                <a16:creationId xmlns:a16="http://schemas.microsoft.com/office/drawing/2014/main" id="{3B1C3B2F-4F17-4D9B-BC10-5D10B0600D19}"/>
              </a:ext>
            </a:extLst>
          </xdr:cNvPr>
          <xdr:cNvCxnSpPr/>
        </xdr:nvCxnSpPr>
        <xdr:spPr>
          <a:xfrm>
            <a:off x="1133475" y="58407300"/>
            <a:ext cx="1624013" cy="17002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0" name="Straight Connector 1979">
            <a:extLst>
              <a:ext uri="{FF2B5EF4-FFF2-40B4-BE49-F238E27FC236}">
                <a16:creationId xmlns:a16="http://schemas.microsoft.com/office/drawing/2014/main" id="{D11C99F6-34BB-46CD-B7A8-FA66C7AE85B8}"/>
              </a:ext>
            </a:extLst>
          </xdr:cNvPr>
          <xdr:cNvCxnSpPr/>
        </xdr:nvCxnSpPr>
        <xdr:spPr>
          <a:xfrm>
            <a:off x="1138238" y="58997850"/>
            <a:ext cx="1614487" cy="124659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1" name="Straight Connector 1980">
            <a:extLst>
              <a:ext uri="{FF2B5EF4-FFF2-40B4-BE49-F238E27FC236}">
                <a16:creationId xmlns:a16="http://schemas.microsoft.com/office/drawing/2014/main" id="{95E6BBB6-10F1-4193-AAED-457DF78435D2}"/>
              </a:ext>
            </a:extLst>
          </xdr:cNvPr>
          <xdr:cNvCxnSpPr/>
        </xdr:nvCxnSpPr>
        <xdr:spPr>
          <a:xfrm>
            <a:off x="1143000" y="60012263"/>
            <a:ext cx="1604963" cy="690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2" name="Straight Connector 1981">
            <a:extLst>
              <a:ext uri="{FF2B5EF4-FFF2-40B4-BE49-F238E27FC236}">
                <a16:creationId xmlns:a16="http://schemas.microsoft.com/office/drawing/2014/main" id="{186EC497-6FFF-47D5-824A-312B1EB1C748}"/>
              </a:ext>
            </a:extLst>
          </xdr:cNvPr>
          <xdr:cNvCxnSpPr/>
        </xdr:nvCxnSpPr>
        <xdr:spPr>
          <a:xfrm>
            <a:off x="1143000" y="60498038"/>
            <a:ext cx="1604963" cy="381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3" name="Straight Connector 1982">
            <a:extLst>
              <a:ext uri="{FF2B5EF4-FFF2-40B4-BE49-F238E27FC236}">
                <a16:creationId xmlns:a16="http://schemas.microsoft.com/office/drawing/2014/main" id="{4D775DBE-5341-4771-8DB0-4D053BC120BC}"/>
              </a:ext>
            </a:extLst>
          </xdr:cNvPr>
          <xdr:cNvCxnSpPr/>
        </xdr:nvCxnSpPr>
        <xdr:spPr>
          <a:xfrm flipV="1">
            <a:off x="2752725" y="60507563"/>
            <a:ext cx="1619250" cy="3724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4" name="Straight Connector 1983">
            <a:extLst>
              <a:ext uri="{FF2B5EF4-FFF2-40B4-BE49-F238E27FC236}">
                <a16:creationId xmlns:a16="http://schemas.microsoft.com/office/drawing/2014/main" id="{0796B56F-465D-432E-9B7B-DE79B9DCA1FA}"/>
              </a:ext>
            </a:extLst>
          </xdr:cNvPr>
          <xdr:cNvCxnSpPr/>
        </xdr:nvCxnSpPr>
        <xdr:spPr>
          <a:xfrm flipV="1">
            <a:off x="2747963" y="59493150"/>
            <a:ext cx="1624012" cy="99116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5" name="Straight Connector 1984">
            <a:extLst>
              <a:ext uri="{FF2B5EF4-FFF2-40B4-BE49-F238E27FC236}">
                <a16:creationId xmlns:a16="http://schemas.microsoft.com/office/drawing/2014/main" id="{EDB3295A-1901-4275-B2CA-25CE3258D10D}"/>
              </a:ext>
            </a:extLst>
          </xdr:cNvPr>
          <xdr:cNvCxnSpPr/>
        </xdr:nvCxnSpPr>
        <xdr:spPr>
          <a:xfrm flipV="1">
            <a:off x="2752725" y="58983563"/>
            <a:ext cx="1624013" cy="125994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6" name="Straight Connector 1985">
            <a:extLst>
              <a:ext uri="{FF2B5EF4-FFF2-40B4-BE49-F238E27FC236}">
                <a16:creationId xmlns:a16="http://schemas.microsoft.com/office/drawing/2014/main" id="{FEC0EA05-DA63-4BD3-82B4-66CA144C9335}"/>
              </a:ext>
            </a:extLst>
          </xdr:cNvPr>
          <xdr:cNvCxnSpPr/>
        </xdr:nvCxnSpPr>
        <xdr:spPr>
          <a:xfrm flipV="1">
            <a:off x="2757488" y="58412063"/>
            <a:ext cx="1619250" cy="169114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7" name="Straight Connector 1986">
            <a:extLst>
              <a:ext uri="{FF2B5EF4-FFF2-40B4-BE49-F238E27FC236}">
                <a16:creationId xmlns:a16="http://schemas.microsoft.com/office/drawing/2014/main" id="{6539D4DC-30DA-43BB-9CC0-EE6506C683D4}"/>
              </a:ext>
            </a:extLst>
          </xdr:cNvPr>
          <xdr:cNvCxnSpPr/>
        </xdr:nvCxnSpPr>
        <xdr:spPr>
          <a:xfrm flipH="1">
            <a:off x="2757298" y="57811988"/>
            <a:ext cx="814577" cy="1985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8" name="Straight Connector 1987">
            <a:extLst>
              <a:ext uri="{FF2B5EF4-FFF2-40B4-BE49-F238E27FC236}">
                <a16:creationId xmlns:a16="http://schemas.microsoft.com/office/drawing/2014/main" id="{2DB4FE7D-6884-465E-A3FF-DE1B7D6418A0}"/>
              </a:ext>
            </a:extLst>
          </xdr:cNvPr>
          <xdr:cNvCxnSpPr/>
        </xdr:nvCxnSpPr>
        <xdr:spPr>
          <a:xfrm flipV="1">
            <a:off x="2824163" y="57811988"/>
            <a:ext cx="252412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9" name="Straight Connector 1988">
            <a:extLst>
              <a:ext uri="{FF2B5EF4-FFF2-40B4-BE49-F238E27FC236}">
                <a16:creationId xmlns:a16="http://schemas.microsoft.com/office/drawing/2014/main" id="{92A183EE-DB9B-476B-BDA8-214F398288DD}"/>
              </a:ext>
            </a:extLst>
          </xdr:cNvPr>
          <xdr:cNvCxnSpPr/>
        </xdr:nvCxnSpPr>
        <xdr:spPr>
          <a:xfrm flipV="1">
            <a:off x="2757488" y="60017025"/>
            <a:ext cx="1614487" cy="686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0" name="Straight Connector 1989">
            <a:extLst>
              <a:ext uri="{FF2B5EF4-FFF2-40B4-BE49-F238E27FC236}">
                <a16:creationId xmlns:a16="http://schemas.microsoft.com/office/drawing/2014/main" id="{DAC8BA81-B5D7-4F47-BD36-473C8A7F0510}"/>
              </a:ext>
            </a:extLst>
          </xdr:cNvPr>
          <xdr:cNvCxnSpPr/>
        </xdr:nvCxnSpPr>
        <xdr:spPr>
          <a:xfrm flipV="1">
            <a:off x="2752725" y="57669113"/>
            <a:ext cx="0" cy="493395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1" name="Straight Connector 1990">
            <a:extLst>
              <a:ext uri="{FF2B5EF4-FFF2-40B4-BE49-F238E27FC236}">
                <a16:creationId xmlns:a16="http://schemas.microsoft.com/office/drawing/2014/main" id="{18EC780B-D6D5-4A6F-ABDD-1F4E39136CD9}"/>
              </a:ext>
            </a:extLst>
          </xdr:cNvPr>
          <xdr:cNvCxnSpPr/>
        </xdr:nvCxnSpPr>
        <xdr:spPr>
          <a:xfrm>
            <a:off x="2424113" y="57821513"/>
            <a:ext cx="333375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2" name="Straight Connector 1991">
            <a:extLst>
              <a:ext uri="{FF2B5EF4-FFF2-40B4-BE49-F238E27FC236}">
                <a16:creationId xmlns:a16="http://schemas.microsoft.com/office/drawing/2014/main" id="{1248B15C-2C39-44B3-A47F-13489A39DF82}"/>
              </a:ext>
            </a:extLst>
          </xdr:cNvPr>
          <xdr:cNvCxnSpPr/>
        </xdr:nvCxnSpPr>
        <xdr:spPr>
          <a:xfrm>
            <a:off x="1295400" y="57811988"/>
            <a:ext cx="1462088" cy="2147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3" name="Straight Connector 1992">
            <a:extLst>
              <a:ext uri="{FF2B5EF4-FFF2-40B4-BE49-F238E27FC236}">
                <a16:creationId xmlns:a16="http://schemas.microsoft.com/office/drawing/2014/main" id="{433D38DD-3A81-4F30-A465-4026642B8EBD}"/>
              </a:ext>
            </a:extLst>
          </xdr:cNvPr>
          <xdr:cNvCxnSpPr/>
        </xdr:nvCxnSpPr>
        <xdr:spPr>
          <a:xfrm flipV="1">
            <a:off x="2762250" y="57821513"/>
            <a:ext cx="1447800" cy="2133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4" name="Straight Connector 1993">
            <a:extLst>
              <a:ext uri="{FF2B5EF4-FFF2-40B4-BE49-F238E27FC236}">
                <a16:creationId xmlns:a16="http://schemas.microsoft.com/office/drawing/2014/main" id="{F90B9CBC-3849-4B08-8A49-E24D05E4C831}"/>
              </a:ext>
            </a:extLst>
          </xdr:cNvPr>
          <xdr:cNvCxnSpPr/>
        </xdr:nvCxnSpPr>
        <xdr:spPr>
          <a:xfrm flipH="1" flipV="1">
            <a:off x="2419350" y="57802463"/>
            <a:ext cx="266701" cy="14335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5" name="Straight Connector 1994">
            <a:extLst>
              <a:ext uri="{FF2B5EF4-FFF2-40B4-BE49-F238E27FC236}">
                <a16:creationId xmlns:a16="http://schemas.microsoft.com/office/drawing/2014/main" id="{21E43816-063B-4659-B503-465FBFDFE223}"/>
              </a:ext>
            </a:extLst>
          </xdr:cNvPr>
          <xdr:cNvCxnSpPr/>
        </xdr:nvCxnSpPr>
        <xdr:spPr>
          <a:xfrm flipH="1" flipV="1">
            <a:off x="1928815" y="57811989"/>
            <a:ext cx="667537" cy="160019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6" name="Straight Connector 1995">
            <a:extLst>
              <a:ext uri="{FF2B5EF4-FFF2-40B4-BE49-F238E27FC236}">
                <a16:creationId xmlns:a16="http://schemas.microsoft.com/office/drawing/2014/main" id="{568DA07E-04E1-4651-A124-E7BD66012ED1}"/>
              </a:ext>
            </a:extLst>
          </xdr:cNvPr>
          <xdr:cNvCxnSpPr/>
        </xdr:nvCxnSpPr>
        <xdr:spPr>
          <a:xfrm flipH="1">
            <a:off x="2914650" y="57811988"/>
            <a:ext cx="657225" cy="159543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7" name="Straight Connector 1996">
            <a:extLst>
              <a:ext uri="{FF2B5EF4-FFF2-40B4-BE49-F238E27FC236}">
                <a16:creationId xmlns:a16="http://schemas.microsoft.com/office/drawing/2014/main" id="{E019E353-D2AC-4DE7-9220-402E1DB0554F}"/>
              </a:ext>
            </a:extLst>
          </xdr:cNvPr>
          <xdr:cNvCxnSpPr/>
        </xdr:nvCxnSpPr>
        <xdr:spPr>
          <a:xfrm flipH="1" flipV="1">
            <a:off x="1295401" y="57811989"/>
            <a:ext cx="1300162" cy="190023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8" name="Straight Connector 1997">
            <a:extLst>
              <a:ext uri="{FF2B5EF4-FFF2-40B4-BE49-F238E27FC236}">
                <a16:creationId xmlns:a16="http://schemas.microsoft.com/office/drawing/2014/main" id="{E69155EB-FC57-4258-9E40-871390459794}"/>
              </a:ext>
            </a:extLst>
          </xdr:cNvPr>
          <xdr:cNvCxnSpPr/>
        </xdr:nvCxnSpPr>
        <xdr:spPr>
          <a:xfrm flipH="1">
            <a:off x="2914650" y="57811988"/>
            <a:ext cx="1295401" cy="19192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9" name="Straight Connector 1998">
            <a:extLst>
              <a:ext uri="{FF2B5EF4-FFF2-40B4-BE49-F238E27FC236}">
                <a16:creationId xmlns:a16="http://schemas.microsoft.com/office/drawing/2014/main" id="{CE0F47E8-A0A5-464C-AB41-1BCC378ADE1C}"/>
              </a:ext>
            </a:extLst>
          </xdr:cNvPr>
          <xdr:cNvCxnSpPr/>
        </xdr:nvCxnSpPr>
        <xdr:spPr>
          <a:xfrm flipH="1" flipV="1">
            <a:off x="1128713" y="58397775"/>
            <a:ext cx="1457325" cy="15335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0" name="Straight Connector 1999">
            <a:extLst>
              <a:ext uri="{FF2B5EF4-FFF2-40B4-BE49-F238E27FC236}">
                <a16:creationId xmlns:a16="http://schemas.microsoft.com/office/drawing/2014/main" id="{BB16D77D-6B5E-40E7-9A0A-1A250F720264}"/>
              </a:ext>
            </a:extLst>
          </xdr:cNvPr>
          <xdr:cNvCxnSpPr/>
        </xdr:nvCxnSpPr>
        <xdr:spPr>
          <a:xfrm flipH="1">
            <a:off x="2914650" y="58407300"/>
            <a:ext cx="1466850" cy="15382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1" name="Straight Connector 2000">
            <a:extLst>
              <a:ext uri="{FF2B5EF4-FFF2-40B4-BE49-F238E27FC236}">
                <a16:creationId xmlns:a16="http://schemas.microsoft.com/office/drawing/2014/main" id="{9BA67B78-5D73-4FEF-993B-35587FCF0271}"/>
              </a:ext>
            </a:extLst>
          </xdr:cNvPr>
          <xdr:cNvCxnSpPr/>
        </xdr:nvCxnSpPr>
        <xdr:spPr>
          <a:xfrm flipH="1" flipV="1">
            <a:off x="1133476" y="58993089"/>
            <a:ext cx="1462087" cy="112394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2" name="Straight Connector 2001">
            <a:extLst>
              <a:ext uri="{FF2B5EF4-FFF2-40B4-BE49-F238E27FC236}">
                <a16:creationId xmlns:a16="http://schemas.microsoft.com/office/drawing/2014/main" id="{F905083B-D3E1-4860-8921-D41C5476DF76}"/>
              </a:ext>
            </a:extLst>
          </xdr:cNvPr>
          <xdr:cNvCxnSpPr/>
        </xdr:nvCxnSpPr>
        <xdr:spPr>
          <a:xfrm flipH="1">
            <a:off x="2919413" y="58983563"/>
            <a:ext cx="1452563" cy="11287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3" name="Straight Connector 2002">
            <a:extLst>
              <a:ext uri="{FF2B5EF4-FFF2-40B4-BE49-F238E27FC236}">
                <a16:creationId xmlns:a16="http://schemas.microsoft.com/office/drawing/2014/main" id="{E2E874F5-5703-4468-90AF-CDDB2D987FC8}"/>
              </a:ext>
            </a:extLst>
          </xdr:cNvPr>
          <xdr:cNvCxnSpPr/>
        </xdr:nvCxnSpPr>
        <xdr:spPr>
          <a:xfrm flipH="1" flipV="1">
            <a:off x="1133475" y="59478863"/>
            <a:ext cx="1447800" cy="9001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4" name="Straight Connector 2003">
            <a:extLst>
              <a:ext uri="{FF2B5EF4-FFF2-40B4-BE49-F238E27FC236}">
                <a16:creationId xmlns:a16="http://schemas.microsoft.com/office/drawing/2014/main" id="{D5014998-9417-4503-A976-9DAB363573C8}"/>
              </a:ext>
            </a:extLst>
          </xdr:cNvPr>
          <xdr:cNvCxnSpPr/>
        </xdr:nvCxnSpPr>
        <xdr:spPr>
          <a:xfrm flipH="1">
            <a:off x="2924175" y="59493150"/>
            <a:ext cx="1452564" cy="8905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5" name="Straight Connector 2004">
            <a:extLst>
              <a:ext uri="{FF2B5EF4-FFF2-40B4-BE49-F238E27FC236}">
                <a16:creationId xmlns:a16="http://schemas.microsoft.com/office/drawing/2014/main" id="{C4D40298-E0F8-435A-AA43-3454A3B283A5}"/>
              </a:ext>
            </a:extLst>
          </xdr:cNvPr>
          <xdr:cNvCxnSpPr/>
        </xdr:nvCxnSpPr>
        <xdr:spPr>
          <a:xfrm flipH="1" flipV="1">
            <a:off x="1133476" y="60012263"/>
            <a:ext cx="1457324" cy="6286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6" name="Straight Connector 2005">
            <a:extLst>
              <a:ext uri="{FF2B5EF4-FFF2-40B4-BE49-F238E27FC236}">
                <a16:creationId xmlns:a16="http://schemas.microsoft.com/office/drawing/2014/main" id="{1BA5875E-0829-4059-803B-6973D0386EF3}"/>
              </a:ext>
            </a:extLst>
          </xdr:cNvPr>
          <xdr:cNvCxnSpPr/>
        </xdr:nvCxnSpPr>
        <xdr:spPr>
          <a:xfrm flipH="1">
            <a:off x="2909888" y="60012263"/>
            <a:ext cx="1466851" cy="6286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7" name="Straight Connector 2006">
            <a:extLst>
              <a:ext uri="{FF2B5EF4-FFF2-40B4-BE49-F238E27FC236}">
                <a16:creationId xmlns:a16="http://schemas.microsoft.com/office/drawing/2014/main" id="{C253B452-1451-4636-98D9-A8E9C928F361}"/>
              </a:ext>
            </a:extLst>
          </xdr:cNvPr>
          <xdr:cNvCxnSpPr/>
        </xdr:nvCxnSpPr>
        <xdr:spPr>
          <a:xfrm flipH="1" flipV="1">
            <a:off x="1133475" y="60498038"/>
            <a:ext cx="1466850" cy="3429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8" name="Straight Connector 2007">
            <a:extLst>
              <a:ext uri="{FF2B5EF4-FFF2-40B4-BE49-F238E27FC236}">
                <a16:creationId xmlns:a16="http://schemas.microsoft.com/office/drawing/2014/main" id="{4B34EBD4-09B8-4910-AC5E-4681D34666F8}"/>
              </a:ext>
            </a:extLst>
          </xdr:cNvPr>
          <xdr:cNvCxnSpPr/>
        </xdr:nvCxnSpPr>
        <xdr:spPr>
          <a:xfrm flipH="1">
            <a:off x="2919413" y="60507563"/>
            <a:ext cx="1452563" cy="3333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9" name="Straight Connector 2008">
            <a:extLst>
              <a:ext uri="{FF2B5EF4-FFF2-40B4-BE49-F238E27FC236}">
                <a16:creationId xmlns:a16="http://schemas.microsoft.com/office/drawing/2014/main" id="{184AD800-B425-419A-A856-ACB72A3AF8E3}"/>
              </a:ext>
            </a:extLst>
          </xdr:cNvPr>
          <xdr:cNvCxnSpPr/>
        </xdr:nvCxnSpPr>
        <xdr:spPr>
          <a:xfrm>
            <a:off x="1066799" y="62522100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0" name="Straight Connector 2009">
            <a:extLst>
              <a:ext uri="{FF2B5EF4-FFF2-40B4-BE49-F238E27FC236}">
                <a16:creationId xmlns:a16="http://schemas.microsoft.com/office/drawing/2014/main" id="{BEBE8E18-E451-456B-ABD4-FD76F6FAD17A}"/>
              </a:ext>
            </a:extLst>
          </xdr:cNvPr>
          <xdr:cNvCxnSpPr/>
        </xdr:nvCxnSpPr>
        <xdr:spPr>
          <a:xfrm>
            <a:off x="1133475" y="61722000"/>
            <a:ext cx="0" cy="11525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1" name="Straight Connector 2010">
            <a:extLst>
              <a:ext uri="{FF2B5EF4-FFF2-40B4-BE49-F238E27FC236}">
                <a16:creationId xmlns:a16="http://schemas.microsoft.com/office/drawing/2014/main" id="{AE2B705F-A20C-44A1-9983-47AF2946EC7F}"/>
              </a:ext>
            </a:extLst>
          </xdr:cNvPr>
          <xdr:cNvCxnSpPr/>
        </xdr:nvCxnSpPr>
        <xdr:spPr>
          <a:xfrm flipH="1">
            <a:off x="1090613" y="624839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2" name="Straight Connector 2011">
            <a:extLst>
              <a:ext uri="{FF2B5EF4-FFF2-40B4-BE49-F238E27FC236}">
                <a16:creationId xmlns:a16="http://schemas.microsoft.com/office/drawing/2014/main" id="{3667FC6D-23E5-4E67-B5BF-9ED2956263ED}"/>
              </a:ext>
            </a:extLst>
          </xdr:cNvPr>
          <xdr:cNvCxnSpPr/>
        </xdr:nvCxnSpPr>
        <xdr:spPr>
          <a:xfrm>
            <a:off x="4371975" y="61702950"/>
            <a:ext cx="0" cy="1190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3" name="Straight Connector 2012">
            <a:extLst>
              <a:ext uri="{FF2B5EF4-FFF2-40B4-BE49-F238E27FC236}">
                <a16:creationId xmlns:a16="http://schemas.microsoft.com/office/drawing/2014/main" id="{105F4D8D-5FF4-4D1C-ADEA-6235CBAC11E8}"/>
              </a:ext>
            </a:extLst>
          </xdr:cNvPr>
          <xdr:cNvCxnSpPr/>
        </xdr:nvCxnSpPr>
        <xdr:spPr>
          <a:xfrm flipH="1">
            <a:off x="4329113" y="624839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4" name="Straight Connector 2013">
            <a:extLst>
              <a:ext uri="{FF2B5EF4-FFF2-40B4-BE49-F238E27FC236}">
                <a16:creationId xmlns:a16="http://schemas.microsoft.com/office/drawing/2014/main" id="{182CDF66-164F-4C87-9B5A-A3105501D2CF}"/>
              </a:ext>
            </a:extLst>
          </xdr:cNvPr>
          <xdr:cNvCxnSpPr/>
        </xdr:nvCxnSpPr>
        <xdr:spPr>
          <a:xfrm flipH="1">
            <a:off x="2709862" y="6248400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5" name="Straight Connector 2014">
            <a:extLst>
              <a:ext uri="{FF2B5EF4-FFF2-40B4-BE49-F238E27FC236}">
                <a16:creationId xmlns:a16="http://schemas.microsoft.com/office/drawing/2014/main" id="{2F240EFB-7ED7-4898-9BD3-5BFF07DA6E78}"/>
              </a:ext>
            </a:extLst>
          </xdr:cNvPr>
          <xdr:cNvCxnSpPr/>
        </xdr:nvCxnSpPr>
        <xdr:spPr>
          <a:xfrm>
            <a:off x="1066800" y="61950600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6" name="Straight Connector 2015">
            <a:extLst>
              <a:ext uri="{FF2B5EF4-FFF2-40B4-BE49-F238E27FC236}">
                <a16:creationId xmlns:a16="http://schemas.microsoft.com/office/drawing/2014/main" id="{0487E9FB-0E45-4837-9C43-DD62CD352CAB}"/>
              </a:ext>
            </a:extLst>
          </xdr:cNvPr>
          <xdr:cNvCxnSpPr/>
        </xdr:nvCxnSpPr>
        <xdr:spPr>
          <a:xfrm>
            <a:off x="2590800" y="61702950"/>
            <a:ext cx="0" cy="3190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7" name="Straight Connector 2016">
            <a:extLst>
              <a:ext uri="{FF2B5EF4-FFF2-40B4-BE49-F238E27FC236}">
                <a16:creationId xmlns:a16="http://schemas.microsoft.com/office/drawing/2014/main" id="{7AD646A7-8F99-4A75-9FC1-77CCEF8D5D53}"/>
              </a:ext>
            </a:extLst>
          </xdr:cNvPr>
          <xdr:cNvCxnSpPr/>
        </xdr:nvCxnSpPr>
        <xdr:spPr>
          <a:xfrm flipH="1">
            <a:off x="2543175" y="61907737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8" name="Straight Connector 2017">
            <a:extLst>
              <a:ext uri="{FF2B5EF4-FFF2-40B4-BE49-F238E27FC236}">
                <a16:creationId xmlns:a16="http://schemas.microsoft.com/office/drawing/2014/main" id="{4F7FA355-5010-4C98-BE1B-A0023D2AA23F}"/>
              </a:ext>
            </a:extLst>
          </xdr:cNvPr>
          <xdr:cNvCxnSpPr/>
        </xdr:nvCxnSpPr>
        <xdr:spPr>
          <a:xfrm>
            <a:off x="2914650" y="61702950"/>
            <a:ext cx="0" cy="3190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9" name="Straight Connector 2018">
            <a:extLst>
              <a:ext uri="{FF2B5EF4-FFF2-40B4-BE49-F238E27FC236}">
                <a16:creationId xmlns:a16="http://schemas.microsoft.com/office/drawing/2014/main" id="{3F53303A-7DA2-4274-8B9C-6EDBEBDB453A}"/>
              </a:ext>
            </a:extLst>
          </xdr:cNvPr>
          <xdr:cNvCxnSpPr/>
        </xdr:nvCxnSpPr>
        <xdr:spPr>
          <a:xfrm flipH="1">
            <a:off x="2867025" y="6190773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0" name="Straight Connector 2019">
            <a:extLst>
              <a:ext uri="{FF2B5EF4-FFF2-40B4-BE49-F238E27FC236}">
                <a16:creationId xmlns:a16="http://schemas.microsoft.com/office/drawing/2014/main" id="{9B81C5B7-03BA-4AF3-8009-05B019B59815}"/>
              </a:ext>
            </a:extLst>
          </xdr:cNvPr>
          <xdr:cNvCxnSpPr/>
        </xdr:nvCxnSpPr>
        <xdr:spPr>
          <a:xfrm flipH="1">
            <a:off x="3195645" y="61126692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1" name="Straight Connector 2020">
            <a:extLst>
              <a:ext uri="{FF2B5EF4-FFF2-40B4-BE49-F238E27FC236}">
                <a16:creationId xmlns:a16="http://schemas.microsoft.com/office/drawing/2014/main" id="{011648B5-89E5-4E85-8B3F-F11B8D0F9AAA}"/>
              </a:ext>
            </a:extLst>
          </xdr:cNvPr>
          <xdr:cNvCxnSpPr/>
        </xdr:nvCxnSpPr>
        <xdr:spPr>
          <a:xfrm>
            <a:off x="1828800" y="61583890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2" name="Straight Connector 2021">
            <a:extLst>
              <a:ext uri="{FF2B5EF4-FFF2-40B4-BE49-F238E27FC236}">
                <a16:creationId xmlns:a16="http://schemas.microsoft.com/office/drawing/2014/main" id="{5B380543-9C43-40E5-A1E3-C814D2E791E6}"/>
              </a:ext>
            </a:extLst>
          </xdr:cNvPr>
          <xdr:cNvCxnSpPr/>
        </xdr:nvCxnSpPr>
        <xdr:spPr>
          <a:xfrm>
            <a:off x="1890712" y="61583891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3" name="Straight Connector 2022">
            <a:extLst>
              <a:ext uri="{FF2B5EF4-FFF2-40B4-BE49-F238E27FC236}">
                <a16:creationId xmlns:a16="http://schemas.microsoft.com/office/drawing/2014/main" id="{66998231-77CF-42BA-8DEB-B795247CA4BF}"/>
              </a:ext>
            </a:extLst>
          </xdr:cNvPr>
          <xdr:cNvCxnSpPr/>
        </xdr:nvCxnSpPr>
        <xdr:spPr>
          <a:xfrm flipH="1">
            <a:off x="1090613" y="61912492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4" name="Straight Connector 2023">
            <a:extLst>
              <a:ext uri="{FF2B5EF4-FFF2-40B4-BE49-F238E27FC236}">
                <a16:creationId xmlns:a16="http://schemas.microsoft.com/office/drawing/2014/main" id="{A285F5DB-71E3-4A27-B4E0-299E4BDADD58}"/>
              </a:ext>
            </a:extLst>
          </xdr:cNvPr>
          <xdr:cNvCxnSpPr/>
        </xdr:nvCxnSpPr>
        <xdr:spPr>
          <a:xfrm>
            <a:off x="1857375" y="6209347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5" name="Straight Connector 2024">
            <a:extLst>
              <a:ext uri="{FF2B5EF4-FFF2-40B4-BE49-F238E27FC236}">
                <a16:creationId xmlns:a16="http://schemas.microsoft.com/office/drawing/2014/main" id="{BCC94030-5198-4E45-B464-B1DCBBDAFDF3}"/>
              </a:ext>
            </a:extLst>
          </xdr:cNvPr>
          <xdr:cNvCxnSpPr/>
        </xdr:nvCxnSpPr>
        <xdr:spPr>
          <a:xfrm>
            <a:off x="3648075" y="6198393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6" name="Straight Connector 2025">
            <a:extLst>
              <a:ext uri="{FF2B5EF4-FFF2-40B4-BE49-F238E27FC236}">
                <a16:creationId xmlns:a16="http://schemas.microsoft.com/office/drawing/2014/main" id="{5A5F146B-8298-42D6-9285-27DD7C20D7C8}"/>
              </a:ext>
            </a:extLst>
          </xdr:cNvPr>
          <xdr:cNvCxnSpPr/>
        </xdr:nvCxnSpPr>
        <xdr:spPr>
          <a:xfrm flipH="1">
            <a:off x="3605212" y="6219825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7" name="Straight Connector 2026">
            <a:extLst>
              <a:ext uri="{FF2B5EF4-FFF2-40B4-BE49-F238E27FC236}">
                <a16:creationId xmlns:a16="http://schemas.microsoft.com/office/drawing/2014/main" id="{579E9747-FD98-4C39-A47A-5549DC3FE40B}"/>
              </a:ext>
            </a:extLst>
          </xdr:cNvPr>
          <xdr:cNvCxnSpPr/>
        </xdr:nvCxnSpPr>
        <xdr:spPr>
          <a:xfrm flipV="1">
            <a:off x="1133475" y="57169050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8" name="Straight Connector 2027">
            <a:extLst>
              <a:ext uri="{FF2B5EF4-FFF2-40B4-BE49-F238E27FC236}">
                <a16:creationId xmlns:a16="http://schemas.microsoft.com/office/drawing/2014/main" id="{D746EA0D-2EDB-48AF-82C3-36DFA799F8F3}"/>
              </a:ext>
            </a:extLst>
          </xdr:cNvPr>
          <xdr:cNvCxnSpPr/>
        </xdr:nvCxnSpPr>
        <xdr:spPr>
          <a:xfrm>
            <a:off x="1062038" y="5752147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9" name="Straight Connector 2028">
            <a:extLst>
              <a:ext uri="{FF2B5EF4-FFF2-40B4-BE49-F238E27FC236}">
                <a16:creationId xmlns:a16="http://schemas.microsoft.com/office/drawing/2014/main" id="{10C56F9D-0DA7-4E52-8B24-9D002C8C67ED}"/>
              </a:ext>
            </a:extLst>
          </xdr:cNvPr>
          <xdr:cNvCxnSpPr/>
        </xdr:nvCxnSpPr>
        <xdr:spPr>
          <a:xfrm flipH="1">
            <a:off x="1090607" y="574881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0" name="Straight Connector 2029">
            <a:extLst>
              <a:ext uri="{FF2B5EF4-FFF2-40B4-BE49-F238E27FC236}">
                <a16:creationId xmlns:a16="http://schemas.microsoft.com/office/drawing/2014/main" id="{BCD9A901-DDC9-4598-A3C7-5A4D6BFFAF91}"/>
              </a:ext>
            </a:extLst>
          </xdr:cNvPr>
          <xdr:cNvCxnSpPr/>
        </xdr:nvCxnSpPr>
        <xdr:spPr>
          <a:xfrm>
            <a:off x="1300170" y="5745480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1" name="Straight Connector 2030">
            <a:extLst>
              <a:ext uri="{FF2B5EF4-FFF2-40B4-BE49-F238E27FC236}">
                <a16:creationId xmlns:a16="http://schemas.microsoft.com/office/drawing/2014/main" id="{BDCF1358-1536-4000-94C7-34CEE69CB1F2}"/>
              </a:ext>
            </a:extLst>
          </xdr:cNvPr>
          <xdr:cNvCxnSpPr/>
        </xdr:nvCxnSpPr>
        <xdr:spPr>
          <a:xfrm flipH="1">
            <a:off x="1252546" y="574833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2" name="Straight Connector 2031">
            <a:extLst>
              <a:ext uri="{FF2B5EF4-FFF2-40B4-BE49-F238E27FC236}">
                <a16:creationId xmlns:a16="http://schemas.microsoft.com/office/drawing/2014/main" id="{DB26EC2E-47EC-4574-820B-8571BF9559D3}"/>
              </a:ext>
            </a:extLst>
          </xdr:cNvPr>
          <xdr:cNvCxnSpPr/>
        </xdr:nvCxnSpPr>
        <xdr:spPr>
          <a:xfrm>
            <a:off x="2752726" y="57154763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3" name="Straight Connector 2032">
            <a:extLst>
              <a:ext uri="{FF2B5EF4-FFF2-40B4-BE49-F238E27FC236}">
                <a16:creationId xmlns:a16="http://schemas.microsoft.com/office/drawing/2014/main" id="{7EF5640B-CD8D-475D-A782-1CEAB15C82A2}"/>
              </a:ext>
            </a:extLst>
          </xdr:cNvPr>
          <xdr:cNvCxnSpPr/>
        </xdr:nvCxnSpPr>
        <xdr:spPr>
          <a:xfrm>
            <a:off x="4205291" y="5745003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4" name="Straight Connector 2033">
            <a:extLst>
              <a:ext uri="{FF2B5EF4-FFF2-40B4-BE49-F238E27FC236}">
                <a16:creationId xmlns:a16="http://schemas.microsoft.com/office/drawing/2014/main" id="{08DCA158-0AE0-442E-916B-D47B89339B39}"/>
              </a:ext>
            </a:extLst>
          </xdr:cNvPr>
          <xdr:cNvCxnSpPr/>
        </xdr:nvCxnSpPr>
        <xdr:spPr>
          <a:xfrm flipH="1">
            <a:off x="4162427" y="5747861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5" name="Straight Connector 2034">
            <a:extLst>
              <a:ext uri="{FF2B5EF4-FFF2-40B4-BE49-F238E27FC236}">
                <a16:creationId xmlns:a16="http://schemas.microsoft.com/office/drawing/2014/main" id="{AD9D7E10-AD9F-494C-A0EF-7AB3F985BF69}"/>
              </a:ext>
            </a:extLst>
          </xdr:cNvPr>
          <xdr:cNvCxnSpPr/>
        </xdr:nvCxnSpPr>
        <xdr:spPr>
          <a:xfrm flipV="1">
            <a:off x="4371975" y="57164287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6" name="Straight Connector 2035">
            <a:extLst>
              <a:ext uri="{FF2B5EF4-FFF2-40B4-BE49-F238E27FC236}">
                <a16:creationId xmlns:a16="http://schemas.microsoft.com/office/drawing/2014/main" id="{760F2DD2-7E6E-4507-BA77-0AA699A284E1}"/>
              </a:ext>
            </a:extLst>
          </xdr:cNvPr>
          <xdr:cNvCxnSpPr/>
        </xdr:nvCxnSpPr>
        <xdr:spPr>
          <a:xfrm flipH="1">
            <a:off x="4329113" y="574786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7" name="Straight Connector 2036">
            <a:extLst>
              <a:ext uri="{FF2B5EF4-FFF2-40B4-BE49-F238E27FC236}">
                <a16:creationId xmlns:a16="http://schemas.microsoft.com/office/drawing/2014/main" id="{243050FD-F0B2-4EF8-BB92-E89DF03C2440}"/>
              </a:ext>
            </a:extLst>
          </xdr:cNvPr>
          <xdr:cNvCxnSpPr/>
        </xdr:nvCxnSpPr>
        <xdr:spPr>
          <a:xfrm>
            <a:off x="1057275" y="5723572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8" name="Straight Connector 2037">
            <a:extLst>
              <a:ext uri="{FF2B5EF4-FFF2-40B4-BE49-F238E27FC236}">
                <a16:creationId xmlns:a16="http://schemas.microsoft.com/office/drawing/2014/main" id="{FF8126ED-20B8-4448-A2D1-3753FFBA8246}"/>
              </a:ext>
            </a:extLst>
          </xdr:cNvPr>
          <xdr:cNvCxnSpPr/>
        </xdr:nvCxnSpPr>
        <xdr:spPr>
          <a:xfrm flipH="1">
            <a:off x="1085850" y="571976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9" name="Straight Connector 2038">
            <a:extLst>
              <a:ext uri="{FF2B5EF4-FFF2-40B4-BE49-F238E27FC236}">
                <a16:creationId xmlns:a16="http://schemas.microsoft.com/office/drawing/2014/main" id="{EC4F0BFA-60A7-4A46-BBC3-B866470BB933}"/>
              </a:ext>
            </a:extLst>
          </xdr:cNvPr>
          <xdr:cNvCxnSpPr/>
        </xdr:nvCxnSpPr>
        <xdr:spPr>
          <a:xfrm flipH="1">
            <a:off x="4324350" y="571928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0" name="Straight Connector 2039">
            <a:extLst>
              <a:ext uri="{FF2B5EF4-FFF2-40B4-BE49-F238E27FC236}">
                <a16:creationId xmlns:a16="http://schemas.microsoft.com/office/drawing/2014/main" id="{08945C6D-0798-4372-A5C4-11108B04D433}"/>
              </a:ext>
            </a:extLst>
          </xdr:cNvPr>
          <xdr:cNvCxnSpPr/>
        </xdr:nvCxnSpPr>
        <xdr:spPr>
          <a:xfrm flipH="1">
            <a:off x="2705101" y="5719286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1" name="Straight Connector 2040">
            <a:extLst>
              <a:ext uri="{FF2B5EF4-FFF2-40B4-BE49-F238E27FC236}">
                <a16:creationId xmlns:a16="http://schemas.microsoft.com/office/drawing/2014/main" id="{DE64DA16-59AC-4DD1-B2CA-A1EDDE5ECCF0}"/>
              </a:ext>
            </a:extLst>
          </xdr:cNvPr>
          <xdr:cNvCxnSpPr/>
        </xdr:nvCxnSpPr>
        <xdr:spPr>
          <a:xfrm flipH="1">
            <a:off x="2705101" y="574833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2" name="Straight Connector 2041">
            <a:extLst>
              <a:ext uri="{FF2B5EF4-FFF2-40B4-BE49-F238E27FC236}">
                <a16:creationId xmlns:a16="http://schemas.microsoft.com/office/drawing/2014/main" id="{44675B69-4B4C-41C7-836D-9473A6451052}"/>
              </a:ext>
            </a:extLst>
          </xdr:cNvPr>
          <xdr:cNvCxnSpPr/>
        </xdr:nvCxnSpPr>
        <xdr:spPr>
          <a:xfrm flipH="1">
            <a:off x="409575" y="5780722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3" name="Straight Connector 2042">
            <a:extLst>
              <a:ext uri="{FF2B5EF4-FFF2-40B4-BE49-F238E27FC236}">
                <a16:creationId xmlns:a16="http://schemas.microsoft.com/office/drawing/2014/main" id="{C5451E53-27A5-4724-80C8-2D38D3C70FFA}"/>
              </a:ext>
            </a:extLst>
          </xdr:cNvPr>
          <xdr:cNvCxnSpPr/>
        </xdr:nvCxnSpPr>
        <xdr:spPr>
          <a:xfrm>
            <a:off x="809626" y="57740550"/>
            <a:ext cx="0" cy="402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4" name="Straight Connector 2043">
            <a:extLst>
              <a:ext uri="{FF2B5EF4-FFF2-40B4-BE49-F238E27FC236}">
                <a16:creationId xmlns:a16="http://schemas.microsoft.com/office/drawing/2014/main" id="{831CD37C-BE20-43C5-AD2A-1BEC37F52CEC}"/>
              </a:ext>
            </a:extLst>
          </xdr:cNvPr>
          <xdr:cNvCxnSpPr/>
        </xdr:nvCxnSpPr>
        <xdr:spPr>
          <a:xfrm flipH="1">
            <a:off x="766763" y="5776912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5" name="Straight Connector 2044">
            <a:extLst>
              <a:ext uri="{FF2B5EF4-FFF2-40B4-BE49-F238E27FC236}">
                <a16:creationId xmlns:a16="http://schemas.microsoft.com/office/drawing/2014/main" id="{A0C2650C-1191-44FD-AFA6-7D807F42D8AE}"/>
              </a:ext>
            </a:extLst>
          </xdr:cNvPr>
          <xdr:cNvCxnSpPr/>
        </xdr:nvCxnSpPr>
        <xdr:spPr>
          <a:xfrm flipH="1">
            <a:off x="723900" y="58402530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6" name="Straight Connector 2045">
            <a:extLst>
              <a:ext uri="{FF2B5EF4-FFF2-40B4-BE49-F238E27FC236}">
                <a16:creationId xmlns:a16="http://schemas.microsoft.com/office/drawing/2014/main" id="{7288A9CA-4888-4137-A99E-A7771A0E793C}"/>
              </a:ext>
            </a:extLst>
          </xdr:cNvPr>
          <xdr:cNvCxnSpPr/>
        </xdr:nvCxnSpPr>
        <xdr:spPr>
          <a:xfrm flipH="1">
            <a:off x="762000" y="5836443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7" name="Straight Connector 2046">
            <a:extLst>
              <a:ext uri="{FF2B5EF4-FFF2-40B4-BE49-F238E27FC236}">
                <a16:creationId xmlns:a16="http://schemas.microsoft.com/office/drawing/2014/main" id="{E17C7F9B-2348-471B-A161-D5CBC652DF25}"/>
              </a:ext>
            </a:extLst>
          </xdr:cNvPr>
          <xdr:cNvCxnSpPr/>
        </xdr:nvCxnSpPr>
        <xdr:spPr>
          <a:xfrm flipH="1">
            <a:off x="723900" y="5948362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8" name="Straight Connector 2047">
            <a:extLst>
              <a:ext uri="{FF2B5EF4-FFF2-40B4-BE49-F238E27FC236}">
                <a16:creationId xmlns:a16="http://schemas.microsoft.com/office/drawing/2014/main" id="{A461C832-F0A4-4327-AEF3-A9AEB172D6ED}"/>
              </a:ext>
            </a:extLst>
          </xdr:cNvPr>
          <xdr:cNvCxnSpPr/>
        </xdr:nvCxnSpPr>
        <xdr:spPr>
          <a:xfrm flipH="1">
            <a:off x="762000" y="594455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9" name="Straight Connector 2048">
            <a:extLst>
              <a:ext uri="{FF2B5EF4-FFF2-40B4-BE49-F238E27FC236}">
                <a16:creationId xmlns:a16="http://schemas.microsoft.com/office/drawing/2014/main" id="{92E7258B-61E6-404A-88B0-FD2BDC7A75E6}"/>
              </a:ext>
            </a:extLst>
          </xdr:cNvPr>
          <xdr:cNvCxnSpPr/>
        </xdr:nvCxnSpPr>
        <xdr:spPr>
          <a:xfrm flipH="1">
            <a:off x="723900" y="60012263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0" name="Straight Connector 2049">
            <a:extLst>
              <a:ext uri="{FF2B5EF4-FFF2-40B4-BE49-F238E27FC236}">
                <a16:creationId xmlns:a16="http://schemas.microsoft.com/office/drawing/2014/main" id="{D081DDDE-B741-48F7-BB49-7427F239B815}"/>
              </a:ext>
            </a:extLst>
          </xdr:cNvPr>
          <xdr:cNvCxnSpPr/>
        </xdr:nvCxnSpPr>
        <xdr:spPr>
          <a:xfrm flipH="1">
            <a:off x="762000" y="5997416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1" name="Straight Connector 2050">
            <a:extLst>
              <a:ext uri="{FF2B5EF4-FFF2-40B4-BE49-F238E27FC236}">
                <a16:creationId xmlns:a16="http://schemas.microsoft.com/office/drawing/2014/main" id="{678C9163-1902-454B-8EFE-12EA303D8A90}"/>
              </a:ext>
            </a:extLst>
          </xdr:cNvPr>
          <xdr:cNvCxnSpPr/>
        </xdr:nvCxnSpPr>
        <xdr:spPr>
          <a:xfrm flipH="1">
            <a:off x="728663" y="6049327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2" name="Straight Connector 2051">
            <a:extLst>
              <a:ext uri="{FF2B5EF4-FFF2-40B4-BE49-F238E27FC236}">
                <a16:creationId xmlns:a16="http://schemas.microsoft.com/office/drawing/2014/main" id="{4ED028D4-F1FF-445B-82B0-2D90CA3A159C}"/>
              </a:ext>
            </a:extLst>
          </xdr:cNvPr>
          <xdr:cNvCxnSpPr/>
        </xdr:nvCxnSpPr>
        <xdr:spPr>
          <a:xfrm flipH="1">
            <a:off x="766763" y="6045517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3" name="Straight Connector 2052">
            <a:extLst>
              <a:ext uri="{FF2B5EF4-FFF2-40B4-BE49-F238E27FC236}">
                <a16:creationId xmlns:a16="http://schemas.microsoft.com/office/drawing/2014/main" id="{690C42B5-A7B0-4071-9581-FD2980554D7F}"/>
              </a:ext>
            </a:extLst>
          </xdr:cNvPr>
          <xdr:cNvCxnSpPr/>
        </xdr:nvCxnSpPr>
        <xdr:spPr>
          <a:xfrm flipH="1">
            <a:off x="395288" y="61664845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4" name="Straight Connector 2053">
            <a:extLst>
              <a:ext uri="{FF2B5EF4-FFF2-40B4-BE49-F238E27FC236}">
                <a16:creationId xmlns:a16="http://schemas.microsoft.com/office/drawing/2014/main" id="{742DBC0A-5463-41A8-8C92-8C0722B0ED28}"/>
              </a:ext>
            </a:extLst>
          </xdr:cNvPr>
          <xdr:cNvCxnSpPr/>
        </xdr:nvCxnSpPr>
        <xdr:spPr>
          <a:xfrm flipH="1">
            <a:off x="766764" y="6162674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5" name="Straight Connector 2054">
            <a:extLst>
              <a:ext uri="{FF2B5EF4-FFF2-40B4-BE49-F238E27FC236}">
                <a16:creationId xmlns:a16="http://schemas.microsoft.com/office/drawing/2014/main" id="{7E74D6EC-9DEC-40F3-90D5-28BF709634C0}"/>
              </a:ext>
            </a:extLst>
          </xdr:cNvPr>
          <xdr:cNvCxnSpPr/>
        </xdr:nvCxnSpPr>
        <xdr:spPr>
          <a:xfrm>
            <a:off x="485776" y="57735788"/>
            <a:ext cx="0" cy="400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6" name="Straight Connector 2055">
            <a:extLst>
              <a:ext uri="{FF2B5EF4-FFF2-40B4-BE49-F238E27FC236}">
                <a16:creationId xmlns:a16="http://schemas.microsoft.com/office/drawing/2014/main" id="{09662C06-DEF5-4FF0-A3B2-499E3AB94E75}"/>
              </a:ext>
            </a:extLst>
          </xdr:cNvPr>
          <xdr:cNvCxnSpPr/>
        </xdr:nvCxnSpPr>
        <xdr:spPr>
          <a:xfrm flipH="1">
            <a:off x="442913" y="5776436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7" name="Straight Connector 2056">
            <a:extLst>
              <a:ext uri="{FF2B5EF4-FFF2-40B4-BE49-F238E27FC236}">
                <a16:creationId xmlns:a16="http://schemas.microsoft.com/office/drawing/2014/main" id="{4EF5C6BA-DC5D-4C9D-BDDD-12F689BA5CCF}"/>
              </a:ext>
            </a:extLst>
          </xdr:cNvPr>
          <xdr:cNvCxnSpPr/>
        </xdr:nvCxnSpPr>
        <xdr:spPr>
          <a:xfrm flipH="1">
            <a:off x="442914" y="6162198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8" name="Straight Connector 2057">
            <a:extLst>
              <a:ext uri="{FF2B5EF4-FFF2-40B4-BE49-F238E27FC236}">
                <a16:creationId xmlns:a16="http://schemas.microsoft.com/office/drawing/2014/main" id="{3D058EC9-1A20-41B2-8BFE-D8F0B4BEF066}"/>
              </a:ext>
            </a:extLst>
          </xdr:cNvPr>
          <xdr:cNvCxnSpPr/>
        </xdr:nvCxnSpPr>
        <xdr:spPr>
          <a:xfrm flipH="1">
            <a:off x="723900" y="5898832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9" name="Straight Connector 2058">
            <a:extLst>
              <a:ext uri="{FF2B5EF4-FFF2-40B4-BE49-F238E27FC236}">
                <a16:creationId xmlns:a16="http://schemas.microsoft.com/office/drawing/2014/main" id="{44F0E613-F32A-4BF3-B6DE-24A0E259BDE3}"/>
              </a:ext>
            </a:extLst>
          </xdr:cNvPr>
          <xdr:cNvCxnSpPr/>
        </xdr:nvCxnSpPr>
        <xdr:spPr>
          <a:xfrm flipH="1">
            <a:off x="762000" y="589502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0" name="Straight Connector 2059">
            <a:extLst>
              <a:ext uri="{FF2B5EF4-FFF2-40B4-BE49-F238E27FC236}">
                <a16:creationId xmlns:a16="http://schemas.microsoft.com/office/drawing/2014/main" id="{E3996F79-04C7-4F16-BFAA-B53D26E8A8E0}"/>
              </a:ext>
            </a:extLst>
          </xdr:cNvPr>
          <xdr:cNvCxnSpPr/>
        </xdr:nvCxnSpPr>
        <xdr:spPr>
          <a:xfrm>
            <a:off x="4695825" y="57731025"/>
            <a:ext cx="0" cy="401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1" name="Straight Connector 2060">
            <a:extLst>
              <a:ext uri="{FF2B5EF4-FFF2-40B4-BE49-F238E27FC236}">
                <a16:creationId xmlns:a16="http://schemas.microsoft.com/office/drawing/2014/main" id="{86CD136E-9F81-48CB-B459-DFD7848F4374}"/>
              </a:ext>
            </a:extLst>
          </xdr:cNvPr>
          <xdr:cNvCxnSpPr/>
        </xdr:nvCxnSpPr>
        <xdr:spPr>
          <a:xfrm>
            <a:off x="4414838" y="61664843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2" name="Straight Connector 2061">
            <a:extLst>
              <a:ext uri="{FF2B5EF4-FFF2-40B4-BE49-F238E27FC236}">
                <a16:creationId xmlns:a16="http://schemas.microsoft.com/office/drawing/2014/main" id="{D22DEA8C-9E6D-4A2E-91D6-71059982998C}"/>
              </a:ext>
            </a:extLst>
          </xdr:cNvPr>
          <xdr:cNvCxnSpPr/>
        </xdr:nvCxnSpPr>
        <xdr:spPr>
          <a:xfrm>
            <a:off x="4410075" y="57807225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3" name="Straight Connector 2062">
            <a:extLst>
              <a:ext uri="{FF2B5EF4-FFF2-40B4-BE49-F238E27FC236}">
                <a16:creationId xmlns:a16="http://schemas.microsoft.com/office/drawing/2014/main" id="{F574CE44-9046-44C4-90AE-95E1C6F981D3}"/>
              </a:ext>
            </a:extLst>
          </xdr:cNvPr>
          <xdr:cNvCxnSpPr/>
        </xdr:nvCxnSpPr>
        <xdr:spPr>
          <a:xfrm flipH="1">
            <a:off x="4648200" y="5776912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4" name="Straight Connector 2063">
            <a:extLst>
              <a:ext uri="{FF2B5EF4-FFF2-40B4-BE49-F238E27FC236}">
                <a16:creationId xmlns:a16="http://schemas.microsoft.com/office/drawing/2014/main" id="{9E91EB18-ADC8-4D5B-905E-E7EF83109BE7}"/>
              </a:ext>
            </a:extLst>
          </xdr:cNvPr>
          <xdr:cNvCxnSpPr/>
        </xdr:nvCxnSpPr>
        <xdr:spPr>
          <a:xfrm flipH="1">
            <a:off x="4648201" y="61621980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5" name="Straight Connector 2064">
            <a:extLst>
              <a:ext uri="{FF2B5EF4-FFF2-40B4-BE49-F238E27FC236}">
                <a16:creationId xmlns:a16="http://schemas.microsoft.com/office/drawing/2014/main" id="{9B50DD63-C508-42D4-929C-70880CA4B167}"/>
              </a:ext>
            </a:extLst>
          </xdr:cNvPr>
          <xdr:cNvCxnSpPr/>
        </xdr:nvCxnSpPr>
        <xdr:spPr>
          <a:xfrm>
            <a:off x="3619500" y="59378850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6" name="Straight Connector 2065">
            <a:extLst>
              <a:ext uri="{FF2B5EF4-FFF2-40B4-BE49-F238E27FC236}">
                <a16:creationId xmlns:a16="http://schemas.microsoft.com/office/drawing/2014/main" id="{0E360EEE-0650-4D0C-932B-41FC131185FF}"/>
              </a:ext>
            </a:extLst>
          </xdr:cNvPr>
          <xdr:cNvCxnSpPr/>
        </xdr:nvCxnSpPr>
        <xdr:spPr>
          <a:xfrm flipH="1">
            <a:off x="4652964" y="5933598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7" name="Straight Connector 2066">
            <a:extLst>
              <a:ext uri="{FF2B5EF4-FFF2-40B4-BE49-F238E27FC236}">
                <a16:creationId xmlns:a16="http://schemas.microsoft.com/office/drawing/2014/main" id="{4F42F68B-CFD0-412E-955E-43DAC4E5F9DD}"/>
              </a:ext>
            </a:extLst>
          </xdr:cNvPr>
          <xdr:cNvCxnSpPr/>
        </xdr:nvCxnSpPr>
        <xdr:spPr>
          <a:xfrm>
            <a:off x="3238500" y="59169300"/>
            <a:ext cx="0" cy="2571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8" name="Straight Connector 2067">
            <a:extLst>
              <a:ext uri="{FF2B5EF4-FFF2-40B4-BE49-F238E27FC236}">
                <a16:creationId xmlns:a16="http://schemas.microsoft.com/office/drawing/2014/main" id="{39BFC253-A5B8-4451-911F-019544E3D0C1}"/>
              </a:ext>
            </a:extLst>
          </xdr:cNvPr>
          <xdr:cNvCxnSpPr/>
        </xdr:nvCxnSpPr>
        <xdr:spPr>
          <a:xfrm>
            <a:off x="1138238" y="59488388"/>
            <a:ext cx="1614487" cy="9917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9" name="Straight Connector 2068">
            <a:extLst>
              <a:ext uri="{FF2B5EF4-FFF2-40B4-BE49-F238E27FC236}">
                <a16:creationId xmlns:a16="http://schemas.microsoft.com/office/drawing/2014/main" id="{881BB548-FEC8-49D4-A84A-CB7C0114205E}"/>
              </a:ext>
            </a:extLst>
          </xdr:cNvPr>
          <xdr:cNvCxnSpPr/>
        </xdr:nvCxnSpPr>
        <xdr:spPr>
          <a:xfrm flipH="1">
            <a:off x="3186112" y="5918835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0" name="Straight Connector 2069">
            <a:extLst>
              <a:ext uri="{FF2B5EF4-FFF2-40B4-BE49-F238E27FC236}">
                <a16:creationId xmlns:a16="http://schemas.microsoft.com/office/drawing/2014/main" id="{01719568-0F65-47DF-9092-9886E8F5590D}"/>
              </a:ext>
            </a:extLst>
          </xdr:cNvPr>
          <xdr:cNvCxnSpPr/>
        </xdr:nvCxnSpPr>
        <xdr:spPr>
          <a:xfrm flipH="1">
            <a:off x="2614613" y="58945463"/>
            <a:ext cx="2095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1" name="Straight Connector 2070">
            <a:extLst>
              <a:ext uri="{FF2B5EF4-FFF2-40B4-BE49-F238E27FC236}">
                <a16:creationId xmlns:a16="http://schemas.microsoft.com/office/drawing/2014/main" id="{C1B369CA-AA3C-46F0-BC39-D2BEFA6212FF}"/>
              </a:ext>
            </a:extLst>
          </xdr:cNvPr>
          <xdr:cNvCxnSpPr/>
        </xdr:nvCxnSpPr>
        <xdr:spPr>
          <a:xfrm>
            <a:off x="2686059" y="58850209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2" name="Straight Connector 2071">
            <a:extLst>
              <a:ext uri="{FF2B5EF4-FFF2-40B4-BE49-F238E27FC236}">
                <a16:creationId xmlns:a16="http://schemas.microsoft.com/office/drawing/2014/main" id="{0E180019-161E-45E9-8B3F-1CCBBEE04BE5}"/>
              </a:ext>
            </a:extLst>
          </xdr:cNvPr>
          <xdr:cNvCxnSpPr/>
        </xdr:nvCxnSpPr>
        <xdr:spPr>
          <a:xfrm flipH="1">
            <a:off x="2633672" y="58902597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3" name="Straight Connector 2072">
            <a:extLst>
              <a:ext uri="{FF2B5EF4-FFF2-40B4-BE49-F238E27FC236}">
                <a16:creationId xmlns:a16="http://schemas.microsoft.com/office/drawing/2014/main" id="{4841D8B4-F9B8-447E-A9F7-BFA39139B80F}"/>
              </a:ext>
            </a:extLst>
          </xdr:cNvPr>
          <xdr:cNvCxnSpPr/>
        </xdr:nvCxnSpPr>
        <xdr:spPr>
          <a:xfrm flipH="1">
            <a:off x="2700338" y="58902600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4" name="Straight Connector 2073">
            <a:extLst>
              <a:ext uri="{FF2B5EF4-FFF2-40B4-BE49-F238E27FC236}">
                <a16:creationId xmlns:a16="http://schemas.microsoft.com/office/drawing/2014/main" id="{2046C66C-3BD8-48C3-9550-A7911C3F8C72}"/>
              </a:ext>
            </a:extLst>
          </xdr:cNvPr>
          <xdr:cNvCxnSpPr/>
        </xdr:nvCxnSpPr>
        <xdr:spPr>
          <a:xfrm flipV="1">
            <a:off x="1857375" y="59378852"/>
            <a:ext cx="0" cy="235743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5" name="Straight Connector 2074">
            <a:extLst>
              <a:ext uri="{FF2B5EF4-FFF2-40B4-BE49-F238E27FC236}">
                <a16:creationId xmlns:a16="http://schemas.microsoft.com/office/drawing/2014/main" id="{ED1229D4-E9A3-42BB-8796-6CBB4273C64E}"/>
              </a:ext>
            </a:extLst>
          </xdr:cNvPr>
          <xdr:cNvCxnSpPr/>
        </xdr:nvCxnSpPr>
        <xdr:spPr>
          <a:xfrm flipV="1">
            <a:off x="3648075" y="59369329"/>
            <a:ext cx="0" cy="2290759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76" name="Arc 2075">
            <a:extLst>
              <a:ext uri="{FF2B5EF4-FFF2-40B4-BE49-F238E27FC236}">
                <a16:creationId xmlns:a16="http://schemas.microsoft.com/office/drawing/2014/main" id="{30BE4734-A71F-4B79-A465-7A8261258A34}"/>
              </a:ext>
            </a:extLst>
          </xdr:cNvPr>
          <xdr:cNvSpPr/>
        </xdr:nvSpPr>
        <xdr:spPr>
          <a:xfrm rot="16200000">
            <a:off x="1857375" y="58502550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77" name="Straight Connector 2076">
            <a:extLst>
              <a:ext uri="{FF2B5EF4-FFF2-40B4-BE49-F238E27FC236}">
                <a16:creationId xmlns:a16="http://schemas.microsoft.com/office/drawing/2014/main" id="{2D6FD88C-A08F-4BFB-9E92-97610D847784}"/>
              </a:ext>
            </a:extLst>
          </xdr:cNvPr>
          <xdr:cNvCxnSpPr/>
        </xdr:nvCxnSpPr>
        <xdr:spPr>
          <a:xfrm>
            <a:off x="1057275" y="62236350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8" name="Straight Connector 2077">
            <a:extLst>
              <a:ext uri="{FF2B5EF4-FFF2-40B4-BE49-F238E27FC236}">
                <a16:creationId xmlns:a16="http://schemas.microsoft.com/office/drawing/2014/main" id="{F243CBFA-581D-4C72-A4DC-1866526F016E}"/>
              </a:ext>
            </a:extLst>
          </xdr:cNvPr>
          <xdr:cNvCxnSpPr/>
        </xdr:nvCxnSpPr>
        <xdr:spPr>
          <a:xfrm flipH="1">
            <a:off x="1814513" y="6219348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9" name="Straight Connector 2078">
            <a:extLst>
              <a:ext uri="{FF2B5EF4-FFF2-40B4-BE49-F238E27FC236}">
                <a16:creationId xmlns:a16="http://schemas.microsoft.com/office/drawing/2014/main" id="{B62DBCCB-89B3-4AC1-A0E5-FCC0EBA6256E}"/>
              </a:ext>
            </a:extLst>
          </xdr:cNvPr>
          <xdr:cNvCxnSpPr/>
        </xdr:nvCxnSpPr>
        <xdr:spPr>
          <a:xfrm flipH="1">
            <a:off x="4329114" y="619124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0" name="Straight Connector 2079">
            <a:extLst>
              <a:ext uri="{FF2B5EF4-FFF2-40B4-BE49-F238E27FC236}">
                <a16:creationId xmlns:a16="http://schemas.microsoft.com/office/drawing/2014/main" id="{AB0577C6-EB10-4AD3-BF99-0BCE926BAB3B}"/>
              </a:ext>
            </a:extLst>
          </xdr:cNvPr>
          <xdr:cNvCxnSpPr/>
        </xdr:nvCxnSpPr>
        <xdr:spPr>
          <a:xfrm>
            <a:off x="2419366" y="57450038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1" name="Straight Connector 2080">
            <a:extLst>
              <a:ext uri="{FF2B5EF4-FFF2-40B4-BE49-F238E27FC236}">
                <a16:creationId xmlns:a16="http://schemas.microsoft.com/office/drawing/2014/main" id="{825163B0-25FD-4BCB-9C78-0CD2B1E82F21}"/>
              </a:ext>
            </a:extLst>
          </xdr:cNvPr>
          <xdr:cNvCxnSpPr/>
        </xdr:nvCxnSpPr>
        <xdr:spPr>
          <a:xfrm flipH="1">
            <a:off x="2376505" y="574738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2" name="Straight Connector 2081">
            <a:extLst>
              <a:ext uri="{FF2B5EF4-FFF2-40B4-BE49-F238E27FC236}">
                <a16:creationId xmlns:a16="http://schemas.microsoft.com/office/drawing/2014/main" id="{FEA8497C-11F1-4028-B7B1-AD2CF135C030}"/>
              </a:ext>
            </a:extLst>
          </xdr:cNvPr>
          <xdr:cNvCxnSpPr/>
        </xdr:nvCxnSpPr>
        <xdr:spPr>
          <a:xfrm>
            <a:off x="3076586" y="5745956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3" name="Straight Connector 2082">
            <a:extLst>
              <a:ext uri="{FF2B5EF4-FFF2-40B4-BE49-F238E27FC236}">
                <a16:creationId xmlns:a16="http://schemas.microsoft.com/office/drawing/2014/main" id="{8F2C8439-6AA3-4405-A7EF-76DDEF754B0B}"/>
              </a:ext>
            </a:extLst>
          </xdr:cNvPr>
          <xdr:cNvCxnSpPr/>
        </xdr:nvCxnSpPr>
        <xdr:spPr>
          <a:xfrm flipH="1">
            <a:off x="3028962" y="5748337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4" name="Straight Connector 2083">
            <a:extLst>
              <a:ext uri="{FF2B5EF4-FFF2-40B4-BE49-F238E27FC236}">
                <a16:creationId xmlns:a16="http://schemas.microsoft.com/office/drawing/2014/main" id="{034624D1-3A2A-4257-A627-A20AE6008488}"/>
              </a:ext>
            </a:extLst>
          </xdr:cNvPr>
          <xdr:cNvCxnSpPr/>
        </xdr:nvCxnSpPr>
        <xdr:spPr>
          <a:xfrm>
            <a:off x="1066799" y="62807849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5" name="Straight Connector 2084">
            <a:extLst>
              <a:ext uri="{FF2B5EF4-FFF2-40B4-BE49-F238E27FC236}">
                <a16:creationId xmlns:a16="http://schemas.microsoft.com/office/drawing/2014/main" id="{E2EC23A4-B7AD-40C6-82A2-D85579BCF452}"/>
              </a:ext>
            </a:extLst>
          </xdr:cNvPr>
          <xdr:cNvCxnSpPr/>
        </xdr:nvCxnSpPr>
        <xdr:spPr>
          <a:xfrm flipH="1">
            <a:off x="1090613" y="627697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6" name="Straight Connector 2085">
            <a:extLst>
              <a:ext uri="{FF2B5EF4-FFF2-40B4-BE49-F238E27FC236}">
                <a16:creationId xmlns:a16="http://schemas.microsoft.com/office/drawing/2014/main" id="{A962F823-E596-4D31-A133-DF901B45D9BF}"/>
              </a:ext>
            </a:extLst>
          </xdr:cNvPr>
          <xdr:cNvCxnSpPr/>
        </xdr:nvCxnSpPr>
        <xdr:spPr>
          <a:xfrm flipH="1">
            <a:off x="4329113" y="627697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7" name="Straight Connector 2086">
            <a:extLst>
              <a:ext uri="{FF2B5EF4-FFF2-40B4-BE49-F238E27FC236}">
                <a16:creationId xmlns:a16="http://schemas.microsoft.com/office/drawing/2014/main" id="{18506071-9151-43A0-B6FB-8893BC260367}"/>
              </a:ext>
            </a:extLst>
          </xdr:cNvPr>
          <xdr:cNvCxnSpPr/>
        </xdr:nvCxnSpPr>
        <xdr:spPr>
          <a:xfrm flipH="1">
            <a:off x="1090612" y="6219824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8" name="Straight Connector 2087">
            <a:extLst>
              <a:ext uri="{FF2B5EF4-FFF2-40B4-BE49-F238E27FC236}">
                <a16:creationId xmlns:a16="http://schemas.microsoft.com/office/drawing/2014/main" id="{DD6E8D2F-7310-4172-A441-AE2D968CDF0F}"/>
              </a:ext>
            </a:extLst>
          </xdr:cNvPr>
          <xdr:cNvCxnSpPr/>
        </xdr:nvCxnSpPr>
        <xdr:spPr>
          <a:xfrm flipH="1">
            <a:off x="4329112" y="6219824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9" name="Straight Connector 2088">
            <a:extLst>
              <a:ext uri="{FF2B5EF4-FFF2-40B4-BE49-F238E27FC236}">
                <a16:creationId xmlns:a16="http://schemas.microsoft.com/office/drawing/2014/main" id="{323C5397-9E65-4F32-ADA1-3063C8C850B5}"/>
              </a:ext>
            </a:extLst>
          </xdr:cNvPr>
          <xdr:cNvCxnSpPr/>
        </xdr:nvCxnSpPr>
        <xdr:spPr>
          <a:xfrm flipH="1">
            <a:off x="2709862" y="6219825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0" name="Straight Connector 2089">
            <a:extLst>
              <a:ext uri="{FF2B5EF4-FFF2-40B4-BE49-F238E27FC236}">
                <a16:creationId xmlns:a16="http://schemas.microsoft.com/office/drawing/2014/main" id="{949DC88A-777B-441D-AA72-B9388874D705}"/>
              </a:ext>
            </a:extLst>
          </xdr:cNvPr>
          <xdr:cNvCxnSpPr/>
        </xdr:nvCxnSpPr>
        <xdr:spPr>
          <a:xfrm>
            <a:off x="2762250" y="595788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1" name="Straight Connector 2090">
            <a:extLst>
              <a:ext uri="{FF2B5EF4-FFF2-40B4-BE49-F238E27FC236}">
                <a16:creationId xmlns:a16="http://schemas.microsoft.com/office/drawing/2014/main" id="{B71D5318-5950-42AC-BE0F-F6038B4820E6}"/>
              </a:ext>
            </a:extLst>
          </xdr:cNvPr>
          <xdr:cNvCxnSpPr/>
        </xdr:nvCxnSpPr>
        <xdr:spPr>
          <a:xfrm>
            <a:off x="2938462" y="59235975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92" name="Oval 2091">
            <a:extLst>
              <a:ext uri="{FF2B5EF4-FFF2-40B4-BE49-F238E27FC236}">
                <a16:creationId xmlns:a16="http://schemas.microsoft.com/office/drawing/2014/main" id="{70B33952-8745-4AB4-9E30-2850849D2BE7}"/>
              </a:ext>
            </a:extLst>
          </xdr:cNvPr>
          <xdr:cNvSpPr/>
        </xdr:nvSpPr>
        <xdr:spPr>
          <a:xfrm>
            <a:off x="2729866" y="5935122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93" name="Straight Connector 2092">
            <a:extLst>
              <a:ext uri="{FF2B5EF4-FFF2-40B4-BE49-F238E27FC236}">
                <a16:creationId xmlns:a16="http://schemas.microsoft.com/office/drawing/2014/main" id="{64FDB49C-40B6-4381-824B-4BE94FE6D416}"/>
              </a:ext>
            </a:extLst>
          </xdr:cNvPr>
          <xdr:cNvCxnSpPr/>
        </xdr:nvCxnSpPr>
        <xdr:spPr>
          <a:xfrm>
            <a:off x="2195513" y="59378850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4" name="Straight Connector 2093">
            <a:extLst>
              <a:ext uri="{FF2B5EF4-FFF2-40B4-BE49-F238E27FC236}">
                <a16:creationId xmlns:a16="http://schemas.microsoft.com/office/drawing/2014/main" id="{70A1876C-F524-442C-9FAF-98CC3D21F9BF}"/>
              </a:ext>
            </a:extLst>
          </xdr:cNvPr>
          <xdr:cNvCxnSpPr/>
        </xdr:nvCxnSpPr>
        <xdr:spPr>
          <a:xfrm flipV="1">
            <a:off x="2266950" y="59178825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5" name="Straight Connector 2094">
            <a:extLst>
              <a:ext uri="{FF2B5EF4-FFF2-40B4-BE49-F238E27FC236}">
                <a16:creationId xmlns:a16="http://schemas.microsoft.com/office/drawing/2014/main" id="{E3319D94-4758-4A56-B87B-5C0BB60A7B95}"/>
              </a:ext>
            </a:extLst>
          </xdr:cNvPr>
          <xdr:cNvCxnSpPr/>
        </xdr:nvCxnSpPr>
        <xdr:spPr>
          <a:xfrm flipH="1">
            <a:off x="2190750" y="5923597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6" name="Straight Connector 2095">
            <a:extLst>
              <a:ext uri="{FF2B5EF4-FFF2-40B4-BE49-F238E27FC236}">
                <a16:creationId xmlns:a16="http://schemas.microsoft.com/office/drawing/2014/main" id="{17DAFD74-305F-485F-98DE-793EF7844586}"/>
              </a:ext>
            </a:extLst>
          </xdr:cNvPr>
          <xdr:cNvCxnSpPr/>
        </xdr:nvCxnSpPr>
        <xdr:spPr>
          <a:xfrm flipH="1">
            <a:off x="2224088" y="59202638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7" name="Straight Connector 2096">
            <a:extLst>
              <a:ext uri="{FF2B5EF4-FFF2-40B4-BE49-F238E27FC236}">
                <a16:creationId xmlns:a16="http://schemas.microsoft.com/office/drawing/2014/main" id="{3C92D256-CAB2-453E-8BA2-500A7BFA2DC1}"/>
              </a:ext>
            </a:extLst>
          </xdr:cNvPr>
          <xdr:cNvCxnSpPr/>
        </xdr:nvCxnSpPr>
        <xdr:spPr>
          <a:xfrm flipH="1">
            <a:off x="2228850" y="59340750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8" name="Straight Connector 2097">
            <a:extLst>
              <a:ext uri="{FF2B5EF4-FFF2-40B4-BE49-F238E27FC236}">
                <a16:creationId xmlns:a16="http://schemas.microsoft.com/office/drawing/2014/main" id="{450152F1-76AB-4CA2-AF3A-5234054C6486}"/>
              </a:ext>
            </a:extLst>
          </xdr:cNvPr>
          <xdr:cNvCxnSpPr/>
        </xdr:nvCxnSpPr>
        <xdr:spPr>
          <a:xfrm flipH="1">
            <a:off x="3190874" y="595360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9" name="Straight Connector 2098">
            <a:extLst>
              <a:ext uri="{FF2B5EF4-FFF2-40B4-BE49-F238E27FC236}">
                <a16:creationId xmlns:a16="http://schemas.microsoft.com/office/drawing/2014/main" id="{A00562D6-294A-432E-B4BE-39ED4D73E825}"/>
              </a:ext>
            </a:extLst>
          </xdr:cNvPr>
          <xdr:cNvCxnSpPr/>
        </xdr:nvCxnSpPr>
        <xdr:spPr>
          <a:xfrm>
            <a:off x="2767012" y="597979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0" name="Straight Connector 2099">
            <a:extLst>
              <a:ext uri="{FF2B5EF4-FFF2-40B4-BE49-F238E27FC236}">
                <a16:creationId xmlns:a16="http://schemas.microsoft.com/office/drawing/2014/main" id="{451FD53B-D5DA-48EF-9CA2-F1AAF75D6503}"/>
              </a:ext>
            </a:extLst>
          </xdr:cNvPr>
          <xdr:cNvCxnSpPr/>
        </xdr:nvCxnSpPr>
        <xdr:spPr>
          <a:xfrm flipH="1">
            <a:off x="3195636" y="597550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1" name="Straight Connector 2100">
            <a:extLst>
              <a:ext uri="{FF2B5EF4-FFF2-40B4-BE49-F238E27FC236}">
                <a16:creationId xmlns:a16="http://schemas.microsoft.com/office/drawing/2014/main" id="{1DFE3EC1-971B-4EFA-B3E5-226C86AFA091}"/>
              </a:ext>
            </a:extLst>
          </xdr:cNvPr>
          <xdr:cNvCxnSpPr/>
        </xdr:nvCxnSpPr>
        <xdr:spPr>
          <a:xfrm>
            <a:off x="2762249" y="6010751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2" name="Straight Connector 2101">
            <a:extLst>
              <a:ext uri="{FF2B5EF4-FFF2-40B4-BE49-F238E27FC236}">
                <a16:creationId xmlns:a16="http://schemas.microsoft.com/office/drawing/2014/main" id="{C911E778-DA83-42EF-BBAF-C8F1B834F4F2}"/>
              </a:ext>
            </a:extLst>
          </xdr:cNvPr>
          <xdr:cNvCxnSpPr/>
        </xdr:nvCxnSpPr>
        <xdr:spPr>
          <a:xfrm flipH="1">
            <a:off x="3190873" y="600646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3" name="Straight Connector 2102">
            <a:extLst>
              <a:ext uri="{FF2B5EF4-FFF2-40B4-BE49-F238E27FC236}">
                <a16:creationId xmlns:a16="http://schemas.microsoft.com/office/drawing/2014/main" id="{34F3A7EC-2B83-48AF-96E8-2C35FFD8317F}"/>
              </a:ext>
            </a:extLst>
          </xdr:cNvPr>
          <xdr:cNvCxnSpPr/>
        </xdr:nvCxnSpPr>
        <xdr:spPr>
          <a:xfrm>
            <a:off x="2762248" y="6048851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4" name="Straight Connector 2103">
            <a:extLst>
              <a:ext uri="{FF2B5EF4-FFF2-40B4-BE49-F238E27FC236}">
                <a16:creationId xmlns:a16="http://schemas.microsoft.com/office/drawing/2014/main" id="{23514463-C374-4AF5-B8A5-B7EFDFF70EE3}"/>
              </a:ext>
            </a:extLst>
          </xdr:cNvPr>
          <xdr:cNvCxnSpPr/>
        </xdr:nvCxnSpPr>
        <xdr:spPr>
          <a:xfrm flipH="1">
            <a:off x="3190872" y="604456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5" name="Straight Connector 2104">
            <a:extLst>
              <a:ext uri="{FF2B5EF4-FFF2-40B4-BE49-F238E27FC236}">
                <a16:creationId xmlns:a16="http://schemas.microsoft.com/office/drawing/2014/main" id="{CEFF1C4D-9F7B-4491-92FE-3E5DDC2C1A0D}"/>
              </a:ext>
            </a:extLst>
          </xdr:cNvPr>
          <xdr:cNvCxnSpPr/>
        </xdr:nvCxnSpPr>
        <xdr:spPr>
          <a:xfrm>
            <a:off x="2767010" y="6070282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6" name="Straight Connector 2105">
            <a:extLst>
              <a:ext uri="{FF2B5EF4-FFF2-40B4-BE49-F238E27FC236}">
                <a16:creationId xmlns:a16="http://schemas.microsoft.com/office/drawing/2014/main" id="{72DEA7A2-96AA-44A4-8EFE-EDE4ECC14426}"/>
              </a:ext>
            </a:extLst>
          </xdr:cNvPr>
          <xdr:cNvCxnSpPr/>
        </xdr:nvCxnSpPr>
        <xdr:spPr>
          <a:xfrm flipH="1">
            <a:off x="3195634" y="6065996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7" name="Straight Connector 2106">
            <a:extLst>
              <a:ext uri="{FF2B5EF4-FFF2-40B4-BE49-F238E27FC236}">
                <a16:creationId xmlns:a16="http://schemas.microsoft.com/office/drawing/2014/main" id="{BA0BAD87-9E67-4CD0-A2D9-10E5FBCCF16C}"/>
              </a:ext>
            </a:extLst>
          </xdr:cNvPr>
          <xdr:cNvCxnSpPr/>
        </xdr:nvCxnSpPr>
        <xdr:spPr>
          <a:xfrm>
            <a:off x="2762248" y="602408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8" name="Straight Connector 2107">
            <a:extLst>
              <a:ext uri="{FF2B5EF4-FFF2-40B4-BE49-F238E27FC236}">
                <a16:creationId xmlns:a16="http://schemas.microsoft.com/office/drawing/2014/main" id="{0C41689B-CA37-4B86-8A94-6001FCF199B1}"/>
              </a:ext>
            </a:extLst>
          </xdr:cNvPr>
          <xdr:cNvCxnSpPr/>
        </xdr:nvCxnSpPr>
        <xdr:spPr>
          <a:xfrm flipH="1">
            <a:off x="3190872" y="601980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9" name="Straight Connector 2108">
            <a:extLst>
              <a:ext uri="{FF2B5EF4-FFF2-40B4-BE49-F238E27FC236}">
                <a16:creationId xmlns:a16="http://schemas.microsoft.com/office/drawing/2014/main" id="{CAF90408-7C53-43F7-91B9-20662612AC81}"/>
              </a:ext>
            </a:extLst>
          </xdr:cNvPr>
          <xdr:cNvCxnSpPr/>
        </xdr:nvCxnSpPr>
        <xdr:spPr>
          <a:xfrm>
            <a:off x="2762248" y="599503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0" name="Straight Connector 2109">
            <a:extLst>
              <a:ext uri="{FF2B5EF4-FFF2-40B4-BE49-F238E27FC236}">
                <a16:creationId xmlns:a16="http://schemas.microsoft.com/office/drawing/2014/main" id="{64C7995F-5A93-4E9F-B4B9-25A132864F5A}"/>
              </a:ext>
            </a:extLst>
          </xdr:cNvPr>
          <xdr:cNvCxnSpPr/>
        </xdr:nvCxnSpPr>
        <xdr:spPr>
          <a:xfrm flipH="1">
            <a:off x="3190872" y="599074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11" name="Oval 2110">
            <a:extLst>
              <a:ext uri="{FF2B5EF4-FFF2-40B4-BE49-F238E27FC236}">
                <a16:creationId xmlns:a16="http://schemas.microsoft.com/office/drawing/2014/main" id="{A7FB15CB-4F92-4784-AA95-BB3B147B2CE7}"/>
              </a:ext>
            </a:extLst>
          </xdr:cNvPr>
          <xdr:cNvSpPr/>
        </xdr:nvSpPr>
        <xdr:spPr>
          <a:xfrm>
            <a:off x="1833563" y="59350275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12" name="Oval 2111">
            <a:extLst>
              <a:ext uri="{FF2B5EF4-FFF2-40B4-BE49-F238E27FC236}">
                <a16:creationId xmlns:a16="http://schemas.microsoft.com/office/drawing/2014/main" id="{472350C3-51C6-4300-AACA-3845D06841DD}"/>
              </a:ext>
            </a:extLst>
          </xdr:cNvPr>
          <xdr:cNvSpPr/>
        </xdr:nvSpPr>
        <xdr:spPr>
          <a:xfrm>
            <a:off x="3624263" y="5935503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13" name="Straight Connector 2112">
            <a:extLst>
              <a:ext uri="{FF2B5EF4-FFF2-40B4-BE49-F238E27FC236}">
                <a16:creationId xmlns:a16="http://schemas.microsoft.com/office/drawing/2014/main" id="{166A793E-C90E-4449-908A-A9E55761C3FD}"/>
              </a:ext>
            </a:extLst>
          </xdr:cNvPr>
          <xdr:cNvCxnSpPr/>
        </xdr:nvCxnSpPr>
        <xdr:spPr>
          <a:xfrm>
            <a:off x="4781550" y="59235975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4" name="Straight Connector 2113">
            <a:extLst>
              <a:ext uri="{FF2B5EF4-FFF2-40B4-BE49-F238E27FC236}">
                <a16:creationId xmlns:a16="http://schemas.microsoft.com/office/drawing/2014/main" id="{739789CB-1CCA-4572-8FA9-99013D503819}"/>
              </a:ext>
            </a:extLst>
          </xdr:cNvPr>
          <xdr:cNvCxnSpPr/>
        </xdr:nvCxnSpPr>
        <xdr:spPr>
          <a:xfrm>
            <a:off x="5019675" y="57731025"/>
            <a:ext cx="0" cy="402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5" name="Straight Connector 2114">
            <a:extLst>
              <a:ext uri="{FF2B5EF4-FFF2-40B4-BE49-F238E27FC236}">
                <a16:creationId xmlns:a16="http://schemas.microsoft.com/office/drawing/2014/main" id="{EF726AC9-3D5C-42CE-A29D-7A5F7AEF6246}"/>
              </a:ext>
            </a:extLst>
          </xdr:cNvPr>
          <xdr:cNvCxnSpPr/>
        </xdr:nvCxnSpPr>
        <xdr:spPr>
          <a:xfrm flipH="1">
            <a:off x="4981576" y="61617218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6" name="Straight Connector 2115">
            <a:extLst>
              <a:ext uri="{FF2B5EF4-FFF2-40B4-BE49-F238E27FC236}">
                <a16:creationId xmlns:a16="http://schemas.microsoft.com/office/drawing/2014/main" id="{D429250F-06CB-45C3-B8EE-82FA364ED237}"/>
              </a:ext>
            </a:extLst>
          </xdr:cNvPr>
          <xdr:cNvCxnSpPr/>
        </xdr:nvCxnSpPr>
        <xdr:spPr>
          <a:xfrm flipH="1">
            <a:off x="4976814" y="591931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7" name="Straight Connector 2116">
            <a:extLst>
              <a:ext uri="{FF2B5EF4-FFF2-40B4-BE49-F238E27FC236}">
                <a16:creationId xmlns:a16="http://schemas.microsoft.com/office/drawing/2014/main" id="{C8FA964C-8D36-433F-9D7F-9AC9AF68E460}"/>
              </a:ext>
            </a:extLst>
          </xdr:cNvPr>
          <xdr:cNvCxnSpPr/>
        </xdr:nvCxnSpPr>
        <xdr:spPr>
          <a:xfrm>
            <a:off x="3509962" y="59235975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8" name="Straight Connector 2117">
            <a:extLst>
              <a:ext uri="{FF2B5EF4-FFF2-40B4-BE49-F238E27FC236}">
                <a16:creationId xmlns:a16="http://schemas.microsoft.com/office/drawing/2014/main" id="{E797BEBB-EF7B-4E00-AEA9-E8C1284A5815}"/>
              </a:ext>
            </a:extLst>
          </xdr:cNvPr>
          <xdr:cNvCxnSpPr/>
        </xdr:nvCxnSpPr>
        <xdr:spPr>
          <a:xfrm>
            <a:off x="4419600" y="59235975"/>
            <a:ext cx="219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9" name="Straight Connector 2118">
            <a:extLst>
              <a:ext uri="{FF2B5EF4-FFF2-40B4-BE49-F238E27FC236}">
                <a16:creationId xmlns:a16="http://schemas.microsoft.com/office/drawing/2014/main" id="{1EBCF714-9A27-48A1-80C4-D163661DFD0F}"/>
              </a:ext>
            </a:extLst>
          </xdr:cNvPr>
          <xdr:cNvCxnSpPr/>
        </xdr:nvCxnSpPr>
        <xdr:spPr>
          <a:xfrm>
            <a:off x="2757485" y="6088379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0" name="Straight Connector 2119">
            <a:extLst>
              <a:ext uri="{FF2B5EF4-FFF2-40B4-BE49-F238E27FC236}">
                <a16:creationId xmlns:a16="http://schemas.microsoft.com/office/drawing/2014/main" id="{7E787BE7-1398-4661-9976-B712C5382153}"/>
              </a:ext>
            </a:extLst>
          </xdr:cNvPr>
          <xdr:cNvCxnSpPr/>
        </xdr:nvCxnSpPr>
        <xdr:spPr>
          <a:xfrm flipH="1">
            <a:off x="3186109" y="6084093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1" name="Straight Connector 2120">
            <a:extLst>
              <a:ext uri="{FF2B5EF4-FFF2-40B4-BE49-F238E27FC236}">
                <a16:creationId xmlns:a16="http://schemas.microsoft.com/office/drawing/2014/main" id="{76B19EA2-F3C1-4A03-A99E-3F5E775F09B8}"/>
              </a:ext>
            </a:extLst>
          </xdr:cNvPr>
          <xdr:cNvCxnSpPr/>
        </xdr:nvCxnSpPr>
        <xdr:spPr>
          <a:xfrm>
            <a:off x="1924066" y="57454801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2" name="Straight Connector 2121">
            <a:extLst>
              <a:ext uri="{FF2B5EF4-FFF2-40B4-BE49-F238E27FC236}">
                <a16:creationId xmlns:a16="http://schemas.microsoft.com/office/drawing/2014/main" id="{0352E835-B1F3-4D6B-80C4-420EA9965DBF}"/>
              </a:ext>
            </a:extLst>
          </xdr:cNvPr>
          <xdr:cNvCxnSpPr/>
        </xdr:nvCxnSpPr>
        <xdr:spPr>
          <a:xfrm flipH="1">
            <a:off x="1881205" y="5747861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3" name="Straight Connector 2122">
            <a:extLst>
              <a:ext uri="{FF2B5EF4-FFF2-40B4-BE49-F238E27FC236}">
                <a16:creationId xmlns:a16="http://schemas.microsoft.com/office/drawing/2014/main" id="{136E7573-C3CD-46D9-B0E7-28ECBFFDD322}"/>
              </a:ext>
            </a:extLst>
          </xdr:cNvPr>
          <xdr:cNvCxnSpPr/>
        </xdr:nvCxnSpPr>
        <xdr:spPr>
          <a:xfrm>
            <a:off x="3571878" y="5745480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4" name="Straight Connector 2123">
            <a:extLst>
              <a:ext uri="{FF2B5EF4-FFF2-40B4-BE49-F238E27FC236}">
                <a16:creationId xmlns:a16="http://schemas.microsoft.com/office/drawing/2014/main" id="{E186BC94-5D6A-4F8E-B290-C51EB0B3EE1F}"/>
              </a:ext>
            </a:extLst>
          </xdr:cNvPr>
          <xdr:cNvCxnSpPr/>
        </xdr:nvCxnSpPr>
        <xdr:spPr>
          <a:xfrm flipH="1">
            <a:off x="3529016" y="574786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5" name="Straight Connector 2124">
            <a:extLst>
              <a:ext uri="{FF2B5EF4-FFF2-40B4-BE49-F238E27FC236}">
                <a16:creationId xmlns:a16="http://schemas.microsoft.com/office/drawing/2014/main" id="{027503CD-49C2-4FCC-94F0-53B8BF72C0F5}"/>
              </a:ext>
            </a:extLst>
          </xdr:cNvPr>
          <xdr:cNvCxnSpPr/>
        </xdr:nvCxnSpPr>
        <xdr:spPr>
          <a:xfrm flipH="1">
            <a:off x="4976813" y="5775960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6" name="Straight Connector 2125">
            <a:extLst>
              <a:ext uri="{FF2B5EF4-FFF2-40B4-BE49-F238E27FC236}">
                <a16:creationId xmlns:a16="http://schemas.microsoft.com/office/drawing/2014/main" id="{0B87971D-62D3-4DBE-8CC6-41E0243F0079}"/>
              </a:ext>
            </a:extLst>
          </xdr:cNvPr>
          <xdr:cNvCxnSpPr/>
        </xdr:nvCxnSpPr>
        <xdr:spPr>
          <a:xfrm>
            <a:off x="2767012" y="61164788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7" name="Straight Connector 2126">
            <a:extLst>
              <a:ext uri="{FF2B5EF4-FFF2-40B4-BE49-F238E27FC236}">
                <a16:creationId xmlns:a16="http://schemas.microsoft.com/office/drawing/2014/main" id="{6B0534BF-C8A7-46B2-B9F6-2B19953C9570}"/>
              </a:ext>
            </a:extLst>
          </xdr:cNvPr>
          <xdr:cNvCxnSpPr/>
        </xdr:nvCxnSpPr>
        <xdr:spPr>
          <a:xfrm flipH="1">
            <a:off x="3190883" y="61341004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8" name="Straight Connector 2127">
            <a:extLst>
              <a:ext uri="{FF2B5EF4-FFF2-40B4-BE49-F238E27FC236}">
                <a16:creationId xmlns:a16="http://schemas.microsoft.com/office/drawing/2014/main" id="{241417B0-1CAD-427E-A6A4-E4C73CB6D581}"/>
              </a:ext>
            </a:extLst>
          </xdr:cNvPr>
          <xdr:cNvCxnSpPr/>
        </xdr:nvCxnSpPr>
        <xdr:spPr>
          <a:xfrm>
            <a:off x="1133475" y="60917138"/>
            <a:ext cx="1624013" cy="2476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9" name="Straight Connector 2128">
            <a:extLst>
              <a:ext uri="{FF2B5EF4-FFF2-40B4-BE49-F238E27FC236}">
                <a16:creationId xmlns:a16="http://schemas.microsoft.com/office/drawing/2014/main" id="{05BCB38A-0104-41F5-949C-AEEB777D3269}"/>
              </a:ext>
            </a:extLst>
          </xdr:cNvPr>
          <xdr:cNvCxnSpPr/>
        </xdr:nvCxnSpPr>
        <xdr:spPr>
          <a:xfrm flipV="1">
            <a:off x="2762250" y="60912375"/>
            <a:ext cx="1619250" cy="25342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0" name="Straight Connector 2129">
            <a:extLst>
              <a:ext uri="{FF2B5EF4-FFF2-40B4-BE49-F238E27FC236}">
                <a16:creationId xmlns:a16="http://schemas.microsoft.com/office/drawing/2014/main" id="{9C33C7BD-7128-41C2-A05E-A8F7CC08D6FF}"/>
              </a:ext>
            </a:extLst>
          </xdr:cNvPr>
          <xdr:cNvCxnSpPr/>
        </xdr:nvCxnSpPr>
        <xdr:spPr>
          <a:xfrm flipH="1" flipV="1">
            <a:off x="1138238" y="60917138"/>
            <a:ext cx="1452562" cy="2190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1" name="Straight Connector 2130">
            <a:extLst>
              <a:ext uri="{FF2B5EF4-FFF2-40B4-BE49-F238E27FC236}">
                <a16:creationId xmlns:a16="http://schemas.microsoft.com/office/drawing/2014/main" id="{A36C7F75-6B4E-4AAD-8F60-CA8A18D4F6CA}"/>
              </a:ext>
            </a:extLst>
          </xdr:cNvPr>
          <xdr:cNvCxnSpPr/>
        </xdr:nvCxnSpPr>
        <xdr:spPr>
          <a:xfrm flipH="1">
            <a:off x="2924175" y="60912375"/>
            <a:ext cx="1447800" cy="22383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2" name="Straight Connector 2131">
            <a:extLst>
              <a:ext uri="{FF2B5EF4-FFF2-40B4-BE49-F238E27FC236}">
                <a16:creationId xmlns:a16="http://schemas.microsoft.com/office/drawing/2014/main" id="{EDF6469B-14E5-46AA-83E1-B83332C1416C}"/>
              </a:ext>
            </a:extLst>
          </xdr:cNvPr>
          <xdr:cNvCxnSpPr/>
        </xdr:nvCxnSpPr>
        <xdr:spPr>
          <a:xfrm flipH="1">
            <a:off x="723900" y="6092189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3" name="Straight Connector 2132">
            <a:extLst>
              <a:ext uri="{FF2B5EF4-FFF2-40B4-BE49-F238E27FC236}">
                <a16:creationId xmlns:a16="http://schemas.microsoft.com/office/drawing/2014/main" id="{0F013A47-7A66-47BB-97B6-28D6C8B93446}"/>
              </a:ext>
            </a:extLst>
          </xdr:cNvPr>
          <xdr:cNvCxnSpPr/>
        </xdr:nvCxnSpPr>
        <xdr:spPr>
          <a:xfrm flipH="1">
            <a:off x="762000" y="608838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5" name="Straight Connector 2134">
            <a:extLst>
              <a:ext uri="{FF2B5EF4-FFF2-40B4-BE49-F238E27FC236}">
                <a16:creationId xmlns:a16="http://schemas.microsoft.com/office/drawing/2014/main" id="{392B4AB5-AFF7-4EEA-BADB-F861A75E1B21}"/>
              </a:ext>
            </a:extLst>
          </xdr:cNvPr>
          <xdr:cNvCxnSpPr/>
        </xdr:nvCxnSpPr>
        <xdr:spPr>
          <a:xfrm>
            <a:off x="2771780" y="6138385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6" name="Straight Connector 2135">
            <a:extLst>
              <a:ext uri="{FF2B5EF4-FFF2-40B4-BE49-F238E27FC236}">
                <a16:creationId xmlns:a16="http://schemas.microsoft.com/office/drawing/2014/main" id="{312F2CC8-B0DC-4CA5-845B-6AE520EA0B96}"/>
              </a:ext>
            </a:extLst>
          </xdr:cNvPr>
          <xdr:cNvCxnSpPr/>
        </xdr:nvCxnSpPr>
        <xdr:spPr>
          <a:xfrm>
            <a:off x="1138238" y="61255275"/>
            <a:ext cx="1624018" cy="1285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7" name="Straight Connector 2136">
            <a:extLst>
              <a:ext uri="{FF2B5EF4-FFF2-40B4-BE49-F238E27FC236}">
                <a16:creationId xmlns:a16="http://schemas.microsoft.com/office/drawing/2014/main" id="{56EB2C70-5B05-4AC8-9E19-F93304EBBF6C}"/>
              </a:ext>
            </a:extLst>
          </xdr:cNvPr>
          <xdr:cNvCxnSpPr/>
        </xdr:nvCxnSpPr>
        <xdr:spPr>
          <a:xfrm flipV="1">
            <a:off x="2767018" y="61255275"/>
            <a:ext cx="1604957" cy="1295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8" name="Straight Connector 2137">
            <a:extLst>
              <a:ext uri="{FF2B5EF4-FFF2-40B4-BE49-F238E27FC236}">
                <a16:creationId xmlns:a16="http://schemas.microsoft.com/office/drawing/2014/main" id="{D2F92EB3-154D-467F-94AF-E0B7B5EF5471}"/>
              </a:ext>
            </a:extLst>
          </xdr:cNvPr>
          <xdr:cNvCxnSpPr/>
        </xdr:nvCxnSpPr>
        <xdr:spPr>
          <a:xfrm flipH="1" flipV="1">
            <a:off x="1138238" y="61250513"/>
            <a:ext cx="1447800" cy="11906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9" name="Straight Connector 2138">
            <a:extLst>
              <a:ext uri="{FF2B5EF4-FFF2-40B4-BE49-F238E27FC236}">
                <a16:creationId xmlns:a16="http://schemas.microsoft.com/office/drawing/2014/main" id="{161788F2-BC9A-4573-A6E7-8311E49D708D}"/>
              </a:ext>
            </a:extLst>
          </xdr:cNvPr>
          <xdr:cNvCxnSpPr/>
        </xdr:nvCxnSpPr>
        <xdr:spPr>
          <a:xfrm flipH="1">
            <a:off x="2924175" y="61255275"/>
            <a:ext cx="1457326" cy="1238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0" name="Straight Connector 2139">
            <a:extLst>
              <a:ext uri="{FF2B5EF4-FFF2-40B4-BE49-F238E27FC236}">
                <a16:creationId xmlns:a16="http://schemas.microsoft.com/office/drawing/2014/main" id="{2CCDB679-17F0-481F-BF8A-4A4E7B25D2B6}"/>
              </a:ext>
            </a:extLst>
          </xdr:cNvPr>
          <xdr:cNvCxnSpPr/>
        </xdr:nvCxnSpPr>
        <xdr:spPr>
          <a:xfrm flipH="1">
            <a:off x="728668" y="6125527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1" name="Straight Connector 2140">
            <a:extLst>
              <a:ext uri="{FF2B5EF4-FFF2-40B4-BE49-F238E27FC236}">
                <a16:creationId xmlns:a16="http://schemas.microsoft.com/office/drawing/2014/main" id="{A91237A4-D4BF-4DFD-98B8-379FFC57D416}"/>
              </a:ext>
            </a:extLst>
          </xdr:cNvPr>
          <xdr:cNvCxnSpPr/>
        </xdr:nvCxnSpPr>
        <xdr:spPr>
          <a:xfrm flipH="1">
            <a:off x="766768" y="6121717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2" name="Straight Connector 2141">
            <a:extLst>
              <a:ext uri="{FF2B5EF4-FFF2-40B4-BE49-F238E27FC236}">
                <a16:creationId xmlns:a16="http://schemas.microsoft.com/office/drawing/2014/main" id="{BB0B064C-DE44-4819-81CD-AF8C5E5A696C}"/>
              </a:ext>
            </a:extLst>
          </xdr:cNvPr>
          <xdr:cNvCxnSpPr/>
        </xdr:nvCxnSpPr>
        <xdr:spPr>
          <a:xfrm flipH="1">
            <a:off x="3195638" y="61617225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32</xdr:col>
      <xdr:colOff>106442</xdr:colOff>
      <xdr:row>253</xdr:row>
      <xdr:rowOff>76200</xdr:rowOff>
    </xdr:from>
    <xdr:to>
      <xdr:col>55</xdr:col>
      <xdr:colOff>65009</xdr:colOff>
      <xdr:row>273</xdr:row>
      <xdr:rowOff>38100</xdr:rowOff>
    </xdr:to>
    <xdr:pic>
      <xdr:nvPicPr>
        <xdr:cNvPr id="2145" name="Picture 2144">
          <a:extLst>
            <a:ext uri="{FF2B5EF4-FFF2-40B4-BE49-F238E27FC236}">
              <a16:creationId xmlns:a16="http://schemas.microsoft.com/office/drawing/2014/main" id="{8B20B54A-AF04-441C-89C1-6552B86FB6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53" t="37850" r="53098" b="38586"/>
        <a:stretch/>
      </xdr:blipFill>
      <xdr:spPr bwMode="auto">
        <a:xfrm>
          <a:off x="5288042" y="58169175"/>
          <a:ext cx="3682842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123825</xdr:colOff>
      <xdr:row>612</xdr:row>
      <xdr:rowOff>123825</xdr:rowOff>
    </xdr:from>
    <xdr:to>
      <xdr:col>57</xdr:col>
      <xdr:colOff>142875</xdr:colOff>
      <xdr:row>614</xdr:row>
      <xdr:rowOff>66675</xdr:rowOff>
    </xdr:to>
    <xdr:cxnSp macro="">
      <xdr:nvCxnSpPr>
        <xdr:cNvPr id="1976" name="Straight Arrow Connector 1975">
          <a:extLst>
            <a:ext uri="{FF2B5EF4-FFF2-40B4-BE49-F238E27FC236}">
              <a16:creationId xmlns:a16="http://schemas.microsoft.com/office/drawing/2014/main" id="{6BCA0766-5733-424A-BD0F-D9B992C7CB3A}"/>
            </a:ext>
          </a:extLst>
        </xdr:cNvPr>
        <xdr:cNvCxnSpPr/>
      </xdr:nvCxnSpPr>
      <xdr:spPr>
        <a:xfrm flipH="1" flipV="1">
          <a:off x="9029700" y="64712850"/>
          <a:ext cx="3429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85725</xdr:colOff>
      <xdr:row>631</xdr:row>
      <xdr:rowOff>66675</xdr:rowOff>
    </xdr:from>
    <xdr:to>
      <xdr:col>46</xdr:col>
      <xdr:colOff>8164</xdr:colOff>
      <xdr:row>637</xdr:row>
      <xdr:rowOff>1360</xdr:rowOff>
    </xdr:to>
    <xdr:grpSp>
      <xdr:nvGrpSpPr>
        <xdr:cNvPr id="2134" name="Group 2133">
          <a:extLst>
            <a:ext uri="{FF2B5EF4-FFF2-40B4-BE49-F238E27FC236}">
              <a16:creationId xmlns:a16="http://schemas.microsoft.com/office/drawing/2014/main" id="{88EF5DCB-718C-4D52-95D1-FC70C04E81F8}"/>
            </a:ext>
          </a:extLst>
        </xdr:cNvPr>
        <xdr:cNvGrpSpPr/>
      </xdr:nvGrpSpPr>
      <xdr:grpSpPr>
        <a:xfrm>
          <a:off x="5753100" y="97640775"/>
          <a:ext cx="1703614" cy="791935"/>
          <a:chOff x="6076950" y="10163175"/>
          <a:chExt cx="1703614" cy="791935"/>
        </a:xfrm>
      </xdr:grpSpPr>
      <xdr:sp macro="" textlink="">
        <xdr:nvSpPr>
          <xdr:cNvPr id="2143" name="Freeform: Shape 2142">
            <a:extLst>
              <a:ext uri="{FF2B5EF4-FFF2-40B4-BE49-F238E27FC236}">
                <a16:creationId xmlns:a16="http://schemas.microsoft.com/office/drawing/2014/main" id="{E579C887-C6E9-4C37-9C09-F19C92395E7A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44" name="Freeform: Shape 2143">
            <a:extLst>
              <a:ext uri="{FF2B5EF4-FFF2-40B4-BE49-F238E27FC236}">
                <a16:creationId xmlns:a16="http://schemas.microsoft.com/office/drawing/2014/main" id="{DB521141-43D6-40D1-975A-21C956972D32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46" name="Freeform: Shape 2145">
            <a:extLst>
              <a:ext uri="{FF2B5EF4-FFF2-40B4-BE49-F238E27FC236}">
                <a16:creationId xmlns:a16="http://schemas.microsoft.com/office/drawing/2014/main" id="{C90A1822-26FB-49C4-828C-8483913B12C5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147" name="Straight Connector 2146">
            <a:extLst>
              <a:ext uri="{FF2B5EF4-FFF2-40B4-BE49-F238E27FC236}">
                <a16:creationId xmlns:a16="http://schemas.microsoft.com/office/drawing/2014/main" id="{0B96111D-B5EE-4B1C-9EBC-46E1BA4F8DB7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8" name="Straight Connector 2147">
            <a:extLst>
              <a:ext uri="{FF2B5EF4-FFF2-40B4-BE49-F238E27FC236}">
                <a16:creationId xmlns:a16="http://schemas.microsoft.com/office/drawing/2014/main" id="{492E68A3-F07B-40CA-847D-E72B7BE7BE4D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9" name="Straight Connector 2148">
            <a:extLst>
              <a:ext uri="{FF2B5EF4-FFF2-40B4-BE49-F238E27FC236}">
                <a16:creationId xmlns:a16="http://schemas.microsoft.com/office/drawing/2014/main" id="{DE920C30-61D2-4695-8BA8-D44ECC90E33C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0" name="Straight Connector 2149">
            <a:extLst>
              <a:ext uri="{FF2B5EF4-FFF2-40B4-BE49-F238E27FC236}">
                <a16:creationId xmlns:a16="http://schemas.microsoft.com/office/drawing/2014/main" id="{6B052ED3-B1D3-4165-8D6B-0A33195024C1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1" name="Straight Connector 2150">
            <a:extLst>
              <a:ext uri="{FF2B5EF4-FFF2-40B4-BE49-F238E27FC236}">
                <a16:creationId xmlns:a16="http://schemas.microsoft.com/office/drawing/2014/main" id="{3C95C8E6-6A67-4276-B1DC-2204E6026686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2" name="Straight Connector 2151">
            <a:extLst>
              <a:ext uri="{FF2B5EF4-FFF2-40B4-BE49-F238E27FC236}">
                <a16:creationId xmlns:a16="http://schemas.microsoft.com/office/drawing/2014/main" id="{5CBB5870-5894-4234-81F7-192698704EF6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3" name="Straight Connector 2152">
            <a:extLst>
              <a:ext uri="{FF2B5EF4-FFF2-40B4-BE49-F238E27FC236}">
                <a16:creationId xmlns:a16="http://schemas.microsoft.com/office/drawing/2014/main" id="{31D9C3C6-57F4-4D48-AA86-19F4C6E7E47A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4" name="Straight Connector 2153">
            <a:extLst>
              <a:ext uri="{FF2B5EF4-FFF2-40B4-BE49-F238E27FC236}">
                <a16:creationId xmlns:a16="http://schemas.microsoft.com/office/drawing/2014/main" id="{4D856875-F05A-49F4-BDF2-4E626C14142E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5" name="Straight Connector 2154">
            <a:extLst>
              <a:ext uri="{FF2B5EF4-FFF2-40B4-BE49-F238E27FC236}">
                <a16:creationId xmlns:a16="http://schemas.microsoft.com/office/drawing/2014/main" id="{818A8C70-7C79-44FD-895A-9CBB51F62367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6" name="Straight Connector 2155">
            <a:extLst>
              <a:ext uri="{FF2B5EF4-FFF2-40B4-BE49-F238E27FC236}">
                <a16:creationId xmlns:a16="http://schemas.microsoft.com/office/drawing/2014/main" id="{F866CED2-BE0E-4738-9AF9-7D68683E2A16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57" name="Freeform: Shape 2156">
            <a:extLst>
              <a:ext uri="{FF2B5EF4-FFF2-40B4-BE49-F238E27FC236}">
                <a16:creationId xmlns:a16="http://schemas.microsoft.com/office/drawing/2014/main" id="{4CAD5036-BB42-4A4D-A45B-BB975C9A4215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607</xdr:row>
      <xdr:rowOff>61913</xdr:rowOff>
    </xdr:from>
    <xdr:to>
      <xdr:col>31</xdr:col>
      <xdr:colOff>90488</xdr:colOff>
      <xdr:row>638</xdr:row>
      <xdr:rowOff>85725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9699BC61-7320-4350-868F-5EAD62F4C422}"/>
            </a:ext>
          </a:extLst>
        </xdr:cNvPr>
        <xdr:cNvGrpSpPr/>
      </xdr:nvGrpSpPr>
      <xdr:grpSpPr>
        <a:xfrm>
          <a:off x="395288" y="94207013"/>
          <a:ext cx="4714875" cy="4452937"/>
          <a:chOff x="395288" y="63936563"/>
          <a:chExt cx="4714875" cy="4452937"/>
        </a:xfrm>
      </xdr:grpSpPr>
      <xdr:cxnSp macro="">
        <xdr:nvCxnSpPr>
          <xdr:cNvPr id="2159" name="Straight Connector 2158">
            <a:extLst>
              <a:ext uri="{FF2B5EF4-FFF2-40B4-BE49-F238E27FC236}">
                <a16:creationId xmlns:a16="http://schemas.microsoft.com/office/drawing/2014/main" id="{FB6DFDAB-D719-4AC5-A90A-FAF94D767EBC}"/>
              </a:ext>
            </a:extLst>
          </xdr:cNvPr>
          <xdr:cNvCxnSpPr/>
        </xdr:nvCxnSpPr>
        <xdr:spPr>
          <a:xfrm flipH="1">
            <a:off x="2757488" y="64598550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0" name="Straight Connector 2159">
            <a:extLst>
              <a:ext uri="{FF2B5EF4-FFF2-40B4-BE49-F238E27FC236}">
                <a16:creationId xmlns:a16="http://schemas.microsoft.com/office/drawing/2014/main" id="{D1CC956E-369C-435C-8DC2-D418108A3A43}"/>
              </a:ext>
            </a:extLst>
          </xdr:cNvPr>
          <xdr:cNvCxnSpPr/>
        </xdr:nvCxnSpPr>
        <xdr:spPr>
          <a:xfrm>
            <a:off x="1547813" y="64598550"/>
            <a:ext cx="1200150" cy="19755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1" name="Straight Connector 2160">
            <a:extLst>
              <a:ext uri="{FF2B5EF4-FFF2-40B4-BE49-F238E27FC236}">
                <a16:creationId xmlns:a16="http://schemas.microsoft.com/office/drawing/2014/main" id="{C66108DE-07EC-4971-9467-575D0EDAC400}"/>
              </a:ext>
            </a:extLst>
          </xdr:cNvPr>
          <xdr:cNvCxnSpPr/>
        </xdr:nvCxnSpPr>
        <xdr:spPr>
          <a:xfrm>
            <a:off x="1133475" y="65765363"/>
            <a:ext cx="1624013" cy="11239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2" name="Straight Connector 2161">
            <a:extLst>
              <a:ext uri="{FF2B5EF4-FFF2-40B4-BE49-F238E27FC236}">
                <a16:creationId xmlns:a16="http://schemas.microsoft.com/office/drawing/2014/main" id="{CCDEBDE2-07C9-4F10-936D-E7A61578DD83}"/>
              </a:ext>
            </a:extLst>
          </xdr:cNvPr>
          <xdr:cNvCxnSpPr/>
        </xdr:nvCxnSpPr>
        <xdr:spPr>
          <a:xfrm>
            <a:off x="1138238" y="66355913"/>
            <a:ext cx="1614487" cy="6703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4" name="Straight Connector 2163">
            <a:extLst>
              <a:ext uri="{FF2B5EF4-FFF2-40B4-BE49-F238E27FC236}">
                <a16:creationId xmlns:a16="http://schemas.microsoft.com/office/drawing/2014/main" id="{AA00F884-F715-4B3E-AC34-FD17D984C4BB}"/>
              </a:ext>
            </a:extLst>
          </xdr:cNvPr>
          <xdr:cNvCxnSpPr/>
        </xdr:nvCxnSpPr>
        <xdr:spPr>
          <a:xfrm flipV="1">
            <a:off x="2752725" y="66346388"/>
            <a:ext cx="1619250" cy="67892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5" name="Straight Connector 2164">
            <a:extLst>
              <a:ext uri="{FF2B5EF4-FFF2-40B4-BE49-F238E27FC236}">
                <a16:creationId xmlns:a16="http://schemas.microsoft.com/office/drawing/2014/main" id="{76E3C1E1-6DE6-4551-9965-2943BE085B52}"/>
              </a:ext>
            </a:extLst>
          </xdr:cNvPr>
          <xdr:cNvCxnSpPr/>
        </xdr:nvCxnSpPr>
        <xdr:spPr>
          <a:xfrm flipV="1">
            <a:off x="2757488" y="65784413"/>
            <a:ext cx="1614487" cy="110059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6" name="Straight Connector 2165">
            <a:extLst>
              <a:ext uri="{FF2B5EF4-FFF2-40B4-BE49-F238E27FC236}">
                <a16:creationId xmlns:a16="http://schemas.microsoft.com/office/drawing/2014/main" id="{881B3190-FF9C-40C3-8EE3-D350D9820C9E}"/>
              </a:ext>
            </a:extLst>
          </xdr:cNvPr>
          <xdr:cNvCxnSpPr/>
        </xdr:nvCxnSpPr>
        <xdr:spPr>
          <a:xfrm flipH="1">
            <a:off x="2757297" y="64584263"/>
            <a:ext cx="1205103" cy="1995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7" name="Straight Connector 2166">
            <a:extLst>
              <a:ext uri="{FF2B5EF4-FFF2-40B4-BE49-F238E27FC236}">
                <a16:creationId xmlns:a16="http://schemas.microsoft.com/office/drawing/2014/main" id="{94A1AC8A-65D1-4253-B8DC-789ED0126BFE}"/>
              </a:ext>
            </a:extLst>
          </xdr:cNvPr>
          <xdr:cNvCxnSpPr/>
        </xdr:nvCxnSpPr>
        <xdr:spPr>
          <a:xfrm flipV="1">
            <a:off x="2876550" y="64593790"/>
            <a:ext cx="457200" cy="142820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8" name="Straight Connector 2167">
            <a:extLst>
              <a:ext uri="{FF2B5EF4-FFF2-40B4-BE49-F238E27FC236}">
                <a16:creationId xmlns:a16="http://schemas.microsoft.com/office/drawing/2014/main" id="{A4E7632B-83A1-40D1-91F0-3EC74A76886D}"/>
              </a:ext>
            </a:extLst>
          </xdr:cNvPr>
          <xdr:cNvCxnSpPr/>
        </xdr:nvCxnSpPr>
        <xdr:spPr>
          <a:xfrm flipV="1">
            <a:off x="2752725" y="64450913"/>
            <a:ext cx="0" cy="364807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9" name="Straight Connector 2168">
            <a:extLst>
              <a:ext uri="{FF2B5EF4-FFF2-40B4-BE49-F238E27FC236}">
                <a16:creationId xmlns:a16="http://schemas.microsoft.com/office/drawing/2014/main" id="{1461ADDC-A25D-4F96-B6B5-E85F8F4C4972}"/>
              </a:ext>
            </a:extLst>
          </xdr:cNvPr>
          <xdr:cNvCxnSpPr/>
        </xdr:nvCxnSpPr>
        <xdr:spPr>
          <a:xfrm>
            <a:off x="2181225" y="64598550"/>
            <a:ext cx="571500" cy="1762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0" name="Straight Connector 2169">
            <a:extLst>
              <a:ext uri="{FF2B5EF4-FFF2-40B4-BE49-F238E27FC236}">
                <a16:creationId xmlns:a16="http://schemas.microsoft.com/office/drawing/2014/main" id="{A89C3F66-C3E9-4537-9113-57CB11175781}"/>
              </a:ext>
            </a:extLst>
          </xdr:cNvPr>
          <xdr:cNvCxnSpPr/>
        </xdr:nvCxnSpPr>
        <xdr:spPr>
          <a:xfrm>
            <a:off x="1143000" y="65022413"/>
            <a:ext cx="1614488" cy="1719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1" name="Straight Connector 2170">
            <a:extLst>
              <a:ext uri="{FF2B5EF4-FFF2-40B4-BE49-F238E27FC236}">
                <a16:creationId xmlns:a16="http://schemas.microsoft.com/office/drawing/2014/main" id="{B2276C6F-AB61-45DB-825D-03C906B99989}"/>
              </a:ext>
            </a:extLst>
          </xdr:cNvPr>
          <xdr:cNvCxnSpPr/>
        </xdr:nvCxnSpPr>
        <xdr:spPr>
          <a:xfrm flipV="1">
            <a:off x="2762250" y="65027175"/>
            <a:ext cx="1604963" cy="1709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2" name="Straight Connector 2171">
            <a:extLst>
              <a:ext uri="{FF2B5EF4-FFF2-40B4-BE49-F238E27FC236}">
                <a16:creationId xmlns:a16="http://schemas.microsoft.com/office/drawing/2014/main" id="{17F88106-AD9A-404D-A691-7440CC40C4D9}"/>
              </a:ext>
            </a:extLst>
          </xdr:cNvPr>
          <xdr:cNvCxnSpPr/>
        </xdr:nvCxnSpPr>
        <xdr:spPr>
          <a:xfrm flipV="1">
            <a:off x="2752725" y="64589025"/>
            <a:ext cx="0" cy="142875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3" name="Straight Connector 2172">
            <a:extLst>
              <a:ext uri="{FF2B5EF4-FFF2-40B4-BE49-F238E27FC236}">
                <a16:creationId xmlns:a16="http://schemas.microsoft.com/office/drawing/2014/main" id="{76272513-E045-48FB-A384-49A623850FFE}"/>
              </a:ext>
            </a:extLst>
          </xdr:cNvPr>
          <xdr:cNvCxnSpPr/>
        </xdr:nvCxnSpPr>
        <xdr:spPr>
          <a:xfrm flipH="1" flipV="1">
            <a:off x="2181225" y="64589025"/>
            <a:ext cx="466178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4" name="Straight Connector 2173">
            <a:extLst>
              <a:ext uri="{FF2B5EF4-FFF2-40B4-BE49-F238E27FC236}">
                <a16:creationId xmlns:a16="http://schemas.microsoft.com/office/drawing/2014/main" id="{6431623D-E53D-49D4-8E80-B4C6731C397A}"/>
              </a:ext>
            </a:extLst>
          </xdr:cNvPr>
          <xdr:cNvCxnSpPr/>
        </xdr:nvCxnSpPr>
        <xdr:spPr>
          <a:xfrm flipH="1" flipV="1">
            <a:off x="1547813" y="64593788"/>
            <a:ext cx="1042987" cy="17287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5" name="Straight Connector 2174">
            <a:extLst>
              <a:ext uri="{FF2B5EF4-FFF2-40B4-BE49-F238E27FC236}">
                <a16:creationId xmlns:a16="http://schemas.microsoft.com/office/drawing/2014/main" id="{9E9A46A9-C09E-4C01-B7D5-2FC8BF84888D}"/>
              </a:ext>
            </a:extLst>
          </xdr:cNvPr>
          <xdr:cNvCxnSpPr/>
        </xdr:nvCxnSpPr>
        <xdr:spPr>
          <a:xfrm flipH="1">
            <a:off x="2914651" y="64584263"/>
            <a:ext cx="1057274" cy="17287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6" name="Straight Connector 2175">
            <a:extLst>
              <a:ext uri="{FF2B5EF4-FFF2-40B4-BE49-F238E27FC236}">
                <a16:creationId xmlns:a16="http://schemas.microsoft.com/office/drawing/2014/main" id="{5B7413BC-34C2-449B-9076-2CE17147F34A}"/>
              </a:ext>
            </a:extLst>
          </xdr:cNvPr>
          <xdr:cNvCxnSpPr/>
        </xdr:nvCxnSpPr>
        <xdr:spPr>
          <a:xfrm flipH="1" flipV="1">
            <a:off x="1138239" y="65022413"/>
            <a:ext cx="1462086" cy="15525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7" name="Straight Connector 2176">
            <a:extLst>
              <a:ext uri="{FF2B5EF4-FFF2-40B4-BE49-F238E27FC236}">
                <a16:creationId xmlns:a16="http://schemas.microsoft.com/office/drawing/2014/main" id="{06772A38-14F9-43AC-8C3B-800F5DE93771}"/>
              </a:ext>
            </a:extLst>
          </xdr:cNvPr>
          <xdr:cNvCxnSpPr/>
        </xdr:nvCxnSpPr>
        <xdr:spPr>
          <a:xfrm flipH="1">
            <a:off x="2914650" y="65022412"/>
            <a:ext cx="1457325" cy="15668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8" name="Straight Connector 2177">
            <a:extLst>
              <a:ext uri="{FF2B5EF4-FFF2-40B4-BE49-F238E27FC236}">
                <a16:creationId xmlns:a16="http://schemas.microsoft.com/office/drawing/2014/main" id="{46879EF1-8F09-4428-A403-231897E54E7B}"/>
              </a:ext>
            </a:extLst>
          </xdr:cNvPr>
          <xdr:cNvCxnSpPr/>
        </xdr:nvCxnSpPr>
        <xdr:spPr>
          <a:xfrm flipH="1" flipV="1">
            <a:off x="1128713" y="65765363"/>
            <a:ext cx="1462087" cy="1014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9" name="Straight Connector 2178">
            <a:extLst>
              <a:ext uri="{FF2B5EF4-FFF2-40B4-BE49-F238E27FC236}">
                <a16:creationId xmlns:a16="http://schemas.microsoft.com/office/drawing/2014/main" id="{515989C9-0533-4028-8573-97C1C419D9A6}"/>
              </a:ext>
            </a:extLst>
          </xdr:cNvPr>
          <xdr:cNvCxnSpPr/>
        </xdr:nvCxnSpPr>
        <xdr:spPr>
          <a:xfrm flipH="1">
            <a:off x="2919413" y="65789175"/>
            <a:ext cx="1457325" cy="9953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0" name="Straight Connector 2179">
            <a:extLst>
              <a:ext uri="{FF2B5EF4-FFF2-40B4-BE49-F238E27FC236}">
                <a16:creationId xmlns:a16="http://schemas.microsoft.com/office/drawing/2014/main" id="{1E648C4F-17CD-45CE-936E-F44B8B11CBC8}"/>
              </a:ext>
            </a:extLst>
          </xdr:cNvPr>
          <xdr:cNvCxnSpPr/>
        </xdr:nvCxnSpPr>
        <xdr:spPr>
          <a:xfrm flipH="1" flipV="1">
            <a:off x="1138238" y="66355911"/>
            <a:ext cx="1466850" cy="61436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1" name="Straight Connector 2180">
            <a:extLst>
              <a:ext uri="{FF2B5EF4-FFF2-40B4-BE49-F238E27FC236}">
                <a16:creationId xmlns:a16="http://schemas.microsoft.com/office/drawing/2014/main" id="{53285225-DB76-48C4-B870-0768153F659B}"/>
              </a:ext>
            </a:extLst>
          </xdr:cNvPr>
          <xdr:cNvCxnSpPr/>
        </xdr:nvCxnSpPr>
        <xdr:spPr>
          <a:xfrm flipH="1">
            <a:off x="2914652" y="66346388"/>
            <a:ext cx="1466848" cy="60959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4" name="Straight Connector 2183">
            <a:extLst>
              <a:ext uri="{FF2B5EF4-FFF2-40B4-BE49-F238E27FC236}">
                <a16:creationId xmlns:a16="http://schemas.microsoft.com/office/drawing/2014/main" id="{7DA18A06-F11D-491E-8287-68B8DAE52251}"/>
              </a:ext>
            </a:extLst>
          </xdr:cNvPr>
          <xdr:cNvCxnSpPr/>
        </xdr:nvCxnSpPr>
        <xdr:spPr>
          <a:xfrm>
            <a:off x="1066799" y="68018025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5" name="Straight Connector 2184">
            <a:extLst>
              <a:ext uri="{FF2B5EF4-FFF2-40B4-BE49-F238E27FC236}">
                <a16:creationId xmlns:a16="http://schemas.microsoft.com/office/drawing/2014/main" id="{193160AC-D506-4A2E-B666-E840907915FE}"/>
              </a:ext>
            </a:extLst>
          </xdr:cNvPr>
          <xdr:cNvCxnSpPr/>
        </xdr:nvCxnSpPr>
        <xdr:spPr>
          <a:xfrm>
            <a:off x="1133475" y="67208400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6" name="Straight Connector 2185">
            <a:extLst>
              <a:ext uri="{FF2B5EF4-FFF2-40B4-BE49-F238E27FC236}">
                <a16:creationId xmlns:a16="http://schemas.microsoft.com/office/drawing/2014/main" id="{7AE94435-0B6B-4C1A-8D38-3EEAEBCEC643}"/>
              </a:ext>
            </a:extLst>
          </xdr:cNvPr>
          <xdr:cNvCxnSpPr/>
        </xdr:nvCxnSpPr>
        <xdr:spPr>
          <a:xfrm flipH="1">
            <a:off x="1090613" y="679799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7" name="Straight Connector 2186">
            <a:extLst>
              <a:ext uri="{FF2B5EF4-FFF2-40B4-BE49-F238E27FC236}">
                <a16:creationId xmlns:a16="http://schemas.microsoft.com/office/drawing/2014/main" id="{D7CBA2D9-2BC4-47BF-9FC7-19C9C6774373}"/>
              </a:ext>
            </a:extLst>
          </xdr:cNvPr>
          <xdr:cNvCxnSpPr/>
        </xdr:nvCxnSpPr>
        <xdr:spPr>
          <a:xfrm>
            <a:off x="4371975" y="67208400"/>
            <a:ext cx="0" cy="1181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8" name="Straight Connector 2187">
            <a:extLst>
              <a:ext uri="{FF2B5EF4-FFF2-40B4-BE49-F238E27FC236}">
                <a16:creationId xmlns:a16="http://schemas.microsoft.com/office/drawing/2014/main" id="{D3220B74-9E71-45FC-8B2B-B96301E19E55}"/>
              </a:ext>
            </a:extLst>
          </xdr:cNvPr>
          <xdr:cNvCxnSpPr/>
        </xdr:nvCxnSpPr>
        <xdr:spPr>
          <a:xfrm flipH="1">
            <a:off x="4329113" y="679799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9" name="Straight Connector 2188">
            <a:extLst>
              <a:ext uri="{FF2B5EF4-FFF2-40B4-BE49-F238E27FC236}">
                <a16:creationId xmlns:a16="http://schemas.microsoft.com/office/drawing/2014/main" id="{1009F32A-CE37-489F-86BA-C2D0EFBD710D}"/>
              </a:ext>
            </a:extLst>
          </xdr:cNvPr>
          <xdr:cNvCxnSpPr/>
        </xdr:nvCxnSpPr>
        <xdr:spPr>
          <a:xfrm flipH="1">
            <a:off x="2709862" y="6797992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0" name="Straight Connector 2189">
            <a:extLst>
              <a:ext uri="{FF2B5EF4-FFF2-40B4-BE49-F238E27FC236}">
                <a16:creationId xmlns:a16="http://schemas.microsoft.com/office/drawing/2014/main" id="{4E48C4D7-7100-49F6-8B75-F3B3DF27F8C3}"/>
              </a:ext>
            </a:extLst>
          </xdr:cNvPr>
          <xdr:cNvCxnSpPr/>
        </xdr:nvCxnSpPr>
        <xdr:spPr>
          <a:xfrm>
            <a:off x="1066800" y="67446525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1" name="Straight Connector 2190">
            <a:extLst>
              <a:ext uri="{FF2B5EF4-FFF2-40B4-BE49-F238E27FC236}">
                <a16:creationId xmlns:a16="http://schemas.microsoft.com/office/drawing/2014/main" id="{88202CA3-2769-429D-A19F-49D08FEC5404}"/>
              </a:ext>
            </a:extLst>
          </xdr:cNvPr>
          <xdr:cNvCxnSpPr/>
        </xdr:nvCxnSpPr>
        <xdr:spPr>
          <a:xfrm>
            <a:off x="2590800" y="672179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2" name="Straight Connector 2191">
            <a:extLst>
              <a:ext uri="{FF2B5EF4-FFF2-40B4-BE49-F238E27FC236}">
                <a16:creationId xmlns:a16="http://schemas.microsoft.com/office/drawing/2014/main" id="{F14A998C-BDF7-4FA8-8026-34F35D2BA8E7}"/>
              </a:ext>
            </a:extLst>
          </xdr:cNvPr>
          <xdr:cNvCxnSpPr/>
        </xdr:nvCxnSpPr>
        <xdr:spPr>
          <a:xfrm flipH="1">
            <a:off x="2543175" y="67403662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3" name="Straight Connector 2192">
            <a:extLst>
              <a:ext uri="{FF2B5EF4-FFF2-40B4-BE49-F238E27FC236}">
                <a16:creationId xmlns:a16="http://schemas.microsoft.com/office/drawing/2014/main" id="{CE48DA97-BA88-4792-858D-875E01198D9C}"/>
              </a:ext>
            </a:extLst>
          </xdr:cNvPr>
          <xdr:cNvCxnSpPr/>
        </xdr:nvCxnSpPr>
        <xdr:spPr>
          <a:xfrm>
            <a:off x="2914650" y="67217924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4" name="Straight Connector 2193">
            <a:extLst>
              <a:ext uri="{FF2B5EF4-FFF2-40B4-BE49-F238E27FC236}">
                <a16:creationId xmlns:a16="http://schemas.microsoft.com/office/drawing/2014/main" id="{52BE38C5-38D7-4BEE-BAA7-A6E6BA29F7C2}"/>
              </a:ext>
            </a:extLst>
          </xdr:cNvPr>
          <xdr:cNvCxnSpPr/>
        </xdr:nvCxnSpPr>
        <xdr:spPr>
          <a:xfrm flipH="1">
            <a:off x="2867025" y="6740366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5" name="Straight Connector 2194">
            <a:extLst>
              <a:ext uri="{FF2B5EF4-FFF2-40B4-BE49-F238E27FC236}">
                <a16:creationId xmlns:a16="http://schemas.microsoft.com/office/drawing/2014/main" id="{9883A688-B368-4EC4-A98C-8B99271089FA}"/>
              </a:ext>
            </a:extLst>
          </xdr:cNvPr>
          <xdr:cNvCxnSpPr/>
        </xdr:nvCxnSpPr>
        <xdr:spPr>
          <a:xfrm>
            <a:off x="1828799" y="67084574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6" name="Straight Connector 2195">
            <a:extLst>
              <a:ext uri="{FF2B5EF4-FFF2-40B4-BE49-F238E27FC236}">
                <a16:creationId xmlns:a16="http://schemas.microsoft.com/office/drawing/2014/main" id="{3196ADC1-D9AE-4FBD-A83D-A7C5AFE30A3B}"/>
              </a:ext>
            </a:extLst>
          </xdr:cNvPr>
          <xdr:cNvCxnSpPr/>
        </xdr:nvCxnSpPr>
        <xdr:spPr>
          <a:xfrm>
            <a:off x="1885951" y="67084574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7" name="Straight Connector 2196">
            <a:extLst>
              <a:ext uri="{FF2B5EF4-FFF2-40B4-BE49-F238E27FC236}">
                <a16:creationId xmlns:a16="http://schemas.microsoft.com/office/drawing/2014/main" id="{A83F920F-17B1-4B24-971E-C56532A6055C}"/>
              </a:ext>
            </a:extLst>
          </xdr:cNvPr>
          <xdr:cNvCxnSpPr/>
        </xdr:nvCxnSpPr>
        <xdr:spPr>
          <a:xfrm flipH="1">
            <a:off x="1090613" y="67408417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8" name="Straight Connector 2197">
            <a:extLst>
              <a:ext uri="{FF2B5EF4-FFF2-40B4-BE49-F238E27FC236}">
                <a16:creationId xmlns:a16="http://schemas.microsoft.com/office/drawing/2014/main" id="{D4682A05-DD54-4171-83EF-E5D88767AD08}"/>
              </a:ext>
            </a:extLst>
          </xdr:cNvPr>
          <xdr:cNvCxnSpPr/>
        </xdr:nvCxnSpPr>
        <xdr:spPr>
          <a:xfrm>
            <a:off x="1857375" y="675894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9" name="Straight Connector 2198">
            <a:extLst>
              <a:ext uri="{FF2B5EF4-FFF2-40B4-BE49-F238E27FC236}">
                <a16:creationId xmlns:a16="http://schemas.microsoft.com/office/drawing/2014/main" id="{653B1BC5-66CC-46F0-9930-37FC4C3FACF2}"/>
              </a:ext>
            </a:extLst>
          </xdr:cNvPr>
          <xdr:cNvCxnSpPr/>
        </xdr:nvCxnSpPr>
        <xdr:spPr>
          <a:xfrm>
            <a:off x="3648075" y="6747986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0" name="Straight Connector 2199">
            <a:extLst>
              <a:ext uri="{FF2B5EF4-FFF2-40B4-BE49-F238E27FC236}">
                <a16:creationId xmlns:a16="http://schemas.microsoft.com/office/drawing/2014/main" id="{B11CC780-E0A5-41B3-A12C-FCD213376F13}"/>
              </a:ext>
            </a:extLst>
          </xdr:cNvPr>
          <xdr:cNvCxnSpPr/>
        </xdr:nvCxnSpPr>
        <xdr:spPr>
          <a:xfrm flipH="1">
            <a:off x="3605212" y="6769418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1" name="Straight Connector 2200">
            <a:extLst>
              <a:ext uri="{FF2B5EF4-FFF2-40B4-BE49-F238E27FC236}">
                <a16:creationId xmlns:a16="http://schemas.microsoft.com/office/drawing/2014/main" id="{07B9BF86-4610-4EA8-819D-B200D8C4DEA6}"/>
              </a:ext>
            </a:extLst>
          </xdr:cNvPr>
          <xdr:cNvCxnSpPr/>
        </xdr:nvCxnSpPr>
        <xdr:spPr>
          <a:xfrm flipV="1">
            <a:off x="1133475" y="63950850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2" name="Straight Connector 2201">
            <a:extLst>
              <a:ext uri="{FF2B5EF4-FFF2-40B4-BE49-F238E27FC236}">
                <a16:creationId xmlns:a16="http://schemas.microsoft.com/office/drawing/2014/main" id="{D6C17361-DAC3-4081-8067-755F836FA632}"/>
              </a:ext>
            </a:extLst>
          </xdr:cNvPr>
          <xdr:cNvCxnSpPr/>
        </xdr:nvCxnSpPr>
        <xdr:spPr>
          <a:xfrm>
            <a:off x="1062038" y="6430327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3" name="Straight Connector 2202">
            <a:extLst>
              <a:ext uri="{FF2B5EF4-FFF2-40B4-BE49-F238E27FC236}">
                <a16:creationId xmlns:a16="http://schemas.microsoft.com/office/drawing/2014/main" id="{F5026DC3-7CA3-4A38-A652-C094AB9E8ECF}"/>
              </a:ext>
            </a:extLst>
          </xdr:cNvPr>
          <xdr:cNvCxnSpPr/>
        </xdr:nvCxnSpPr>
        <xdr:spPr>
          <a:xfrm flipH="1">
            <a:off x="1085845" y="642651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4" name="Straight Connector 2203">
            <a:extLst>
              <a:ext uri="{FF2B5EF4-FFF2-40B4-BE49-F238E27FC236}">
                <a16:creationId xmlns:a16="http://schemas.microsoft.com/office/drawing/2014/main" id="{FF28C17D-010A-4AD3-A38B-2E2F8F275943}"/>
              </a:ext>
            </a:extLst>
          </xdr:cNvPr>
          <xdr:cNvCxnSpPr/>
        </xdr:nvCxnSpPr>
        <xdr:spPr>
          <a:xfrm>
            <a:off x="1543062" y="6423660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5" name="Straight Connector 2204">
            <a:extLst>
              <a:ext uri="{FF2B5EF4-FFF2-40B4-BE49-F238E27FC236}">
                <a16:creationId xmlns:a16="http://schemas.microsoft.com/office/drawing/2014/main" id="{D8D52726-C9F7-4983-96D8-C298762D4A63}"/>
              </a:ext>
            </a:extLst>
          </xdr:cNvPr>
          <xdr:cNvCxnSpPr/>
        </xdr:nvCxnSpPr>
        <xdr:spPr>
          <a:xfrm flipH="1">
            <a:off x="1500201" y="642604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6" name="Straight Connector 2205">
            <a:extLst>
              <a:ext uri="{FF2B5EF4-FFF2-40B4-BE49-F238E27FC236}">
                <a16:creationId xmlns:a16="http://schemas.microsoft.com/office/drawing/2014/main" id="{526B24B3-E0F2-419F-8983-F4272C2C2340}"/>
              </a:ext>
            </a:extLst>
          </xdr:cNvPr>
          <xdr:cNvCxnSpPr/>
        </xdr:nvCxnSpPr>
        <xdr:spPr>
          <a:xfrm>
            <a:off x="2752726" y="63936563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7" name="Straight Connector 2206">
            <a:extLst>
              <a:ext uri="{FF2B5EF4-FFF2-40B4-BE49-F238E27FC236}">
                <a16:creationId xmlns:a16="http://schemas.microsoft.com/office/drawing/2014/main" id="{F78734EC-0A2E-41B0-8F58-CA3DDD2A6E8C}"/>
              </a:ext>
            </a:extLst>
          </xdr:cNvPr>
          <xdr:cNvCxnSpPr/>
        </xdr:nvCxnSpPr>
        <xdr:spPr>
          <a:xfrm>
            <a:off x="3957641" y="6424136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8" name="Straight Connector 2207">
            <a:extLst>
              <a:ext uri="{FF2B5EF4-FFF2-40B4-BE49-F238E27FC236}">
                <a16:creationId xmlns:a16="http://schemas.microsoft.com/office/drawing/2014/main" id="{D5D3A069-F26E-41F6-A992-B540BE8604D6}"/>
              </a:ext>
            </a:extLst>
          </xdr:cNvPr>
          <xdr:cNvCxnSpPr/>
        </xdr:nvCxnSpPr>
        <xdr:spPr>
          <a:xfrm flipH="1">
            <a:off x="3924304" y="6426517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9" name="Straight Connector 2208">
            <a:extLst>
              <a:ext uri="{FF2B5EF4-FFF2-40B4-BE49-F238E27FC236}">
                <a16:creationId xmlns:a16="http://schemas.microsoft.com/office/drawing/2014/main" id="{CB0E146D-D918-4573-82AB-CD4A43CCA72C}"/>
              </a:ext>
            </a:extLst>
          </xdr:cNvPr>
          <xdr:cNvCxnSpPr/>
        </xdr:nvCxnSpPr>
        <xdr:spPr>
          <a:xfrm flipV="1">
            <a:off x="4371975" y="63946087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0" name="Straight Connector 2209">
            <a:extLst>
              <a:ext uri="{FF2B5EF4-FFF2-40B4-BE49-F238E27FC236}">
                <a16:creationId xmlns:a16="http://schemas.microsoft.com/office/drawing/2014/main" id="{BE43A792-E5E6-4217-842F-EADAE87D3FDC}"/>
              </a:ext>
            </a:extLst>
          </xdr:cNvPr>
          <xdr:cNvCxnSpPr/>
        </xdr:nvCxnSpPr>
        <xdr:spPr>
          <a:xfrm flipH="1">
            <a:off x="4329113" y="642604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1" name="Straight Connector 2210">
            <a:extLst>
              <a:ext uri="{FF2B5EF4-FFF2-40B4-BE49-F238E27FC236}">
                <a16:creationId xmlns:a16="http://schemas.microsoft.com/office/drawing/2014/main" id="{9BF1E196-6ADD-48B6-87FD-B8E53053E0D4}"/>
              </a:ext>
            </a:extLst>
          </xdr:cNvPr>
          <xdr:cNvCxnSpPr/>
        </xdr:nvCxnSpPr>
        <xdr:spPr>
          <a:xfrm>
            <a:off x="1057275" y="6401752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2" name="Straight Connector 2211">
            <a:extLst>
              <a:ext uri="{FF2B5EF4-FFF2-40B4-BE49-F238E27FC236}">
                <a16:creationId xmlns:a16="http://schemas.microsoft.com/office/drawing/2014/main" id="{A18AC753-8CBE-4EFA-9E75-F77FB73CB777}"/>
              </a:ext>
            </a:extLst>
          </xdr:cNvPr>
          <xdr:cNvCxnSpPr/>
        </xdr:nvCxnSpPr>
        <xdr:spPr>
          <a:xfrm flipH="1">
            <a:off x="1085850" y="639794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3" name="Straight Connector 2212">
            <a:extLst>
              <a:ext uri="{FF2B5EF4-FFF2-40B4-BE49-F238E27FC236}">
                <a16:creationId xmlns:a16="http://schemas.microsoft.com/office/drawing/2014/main" id="{06870741-9C22-4E35-83C4-8B1FBB18ED61}"/>
              </a:ext>
            </a:extLst>
          </xdr:cNvPr>
          <xdr:cNvCxnSpPr/>
        </xdr:nvCxnSpPr>
        <xdr:spPr>
          <a:xfrm flipH="1">
            <a:off x="4324350" y="639746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4" name="Straight Connector 2213">
            <a:extLst>
              <a:ext uri="{FF2B5EF4-FFF2-40B4-BE49-F238E27FC236}">
                <a16:creationId xmlns:a16="http://schemas.microsoft.com/office/drawing/2014/main" id="{8E348D7B-2BFC-4E3C-BB3F-9A30020AD6AD}"/>
              </a:ext>
            </a:extLst>
          </xdr:cNvPr>
          <xdr:cNvCxnSpPr/>
        </xdr:nvCxnSpPr>
        <xdr:spPr>
          <a:xfrm flipH="1">
            <a:off x="2705101" y="6397466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5" name="Straight Connector 2214">
            <a:extLst>
              <a:ext uri="{FF2B5EF4-FFF2-40B4-BE49-F238E27FC236}">
                <a16:creationId xmlns:a16="http://schemas.microsoft.com/office/drawing/2014/main" id="{65915164-FE92-4CCE-944A-A9F8C8A02678}"/>
              </a:ext>
            </a:extLst>
          </xdr:cNvPr>
          <xdr:cNvCxnSpPr/>
        </xdr:nvCxnSpPr>
        <xdr:spPr>
          <a:xfrm flipH="1">
            <a:off x="2705101" y="642651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6" name="Straight Connector 2215">
            <a:extLst>
              <a:ext uri="{FF2B5EF4-FFF2-40B4-BE49-F238E27FC236}">
                <a16:creationId xmlns:a16="http://schemas.microsoft.com/office/drawing/2014/main" id="{20D29E31-2C4B-431E-A1E3-C43604A37664}"/>
              </a:ext>
            </a:extLst>
          </xdr:cNvPr>
          <xdr:cNvCxnSpPr/>
        </xdr:nvCxnSpPr>
        <xdr:spPr>
          <a:xfrm flipH="1">
            <a:off x="409575" y="6458902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7" name="Straight Connector 2216">
            <a:extLst>
              <a:ext uri="{FF2B5EF4-FFF2-40B4-BE49-F238E27FC236}">
                <a16:creationId xmlns:a16="http://schemas.microsoft.com/office/drawing/2014/main" id="{2EB2DE12-7310-437B-8ED1-166884E53225}"/>
              </a:ext>
            </a:extLst>
          </xdr:cNvPr>
          <xdr:cNvCxnSpPr/>
        </xdr:nvCxnSpPr>
        <xdr:spPr>
          <a:xfrm>
            <a:off x="809626" y="64522350"/>
            <a:ext cx="0" cy="2714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8" name="Straight Connector 2217">
            <a:extLst>
              <a:ext uri="{FF2B5EF4-FFF2-40B4-BE49-F238E27FC236}">
                <a16:creationId xmlns:a16="http://schemas.microsoft.com/office/drawing/2014/main" id="{3762600C-EDF7-4361-A838-9D35EDCE68BA}"/>
              </a:ext>
            </a:extLst>
          </xdr:cNvPr>
          <xdr:cNvCxnSpPr/>
        </xdr:nvCxnSpPr>
        <xdr:spPr>
          <a:xfrm flipH="1">
            <a:off x="766763" y="6455092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9" name="Straight Connector 2218">
            <a:extLst>
              <a:ext uri="{FF2B5EF4-FFF2-40B4-BE49-F238E27FC236}">
                <a16:creationId xmlns:a16="http://schemas.microsoft.com/office/drawing/2014/main" id="{DED1A7CA-95D2-44FF-9700-F8C2B4F0EBEB}"/>
              </a:ext>
            </a:extLst>
          </xdr:cNvPr>
          <xdr:cNvCxnSpPr/>
        </xdr:nvCxnSpPr>
        <xdr:spPr>
          <a:xfrm flipH="1">
            <a:off x="723900" y="6502240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0" name="Straight Connector 2219">
            <a:extLst>
              <a:ext uri="{FF2B5EF4-FFF2-40B4-BE49-F238E27FC236}">
                <a16:creationId xmlns:a16="http://schemas.microsoft.com/office/drawing/2014/main" id="{03E26617-9726-420E-A26E-BAB0C9758004}"/>
              </a:ext>
            </a:extLst>
          </xdr:cNvPr>
          <xdr:cNvCxnSpPr/>
        </xdr:nvCxnSpPr>
        <xdr:spPr>
          <a:xfrm flipH="1">
            <a:off x="762000" y="6498430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1" name="Straight Connector 2220">
            <a:extLst>
              <a:ext uri="{FF2B5EF4-FFF2-40B4-BE49-F238E27FC236}">
                <a16:creationId xmlns:a16="http://schemas.microsoft.com/office/drawing/2014/main" id="{508EA987-B25E-43F2-823D-90C91F0EDE66}"/>
              </a:ext>
            </a:extLst>
          </xdr:cNvPr>
          <xdr:cNvCxnSpPr/>
        </xdr:nvCxnSpPr>
        <xdr:spPr>
          <a:xfrm flipH="1">
            <a:off x="723900" y="6635591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2" name="Straight Connector 2221">
            <a:extLst>
              <a:ext uri="{FF2B5EF4-FFF2-40B4-BE49-F238E27FC236}">
                <a16:creationId xmlns:a16="http://schemas.microsoft.com/office/drawing/2014/main" id="{99C717CC-303E-4D4D-ACD1-2B3C81B8562E}"/>
              </a:ext>
            </a:extLst>
          </xdr:cNvPr>
          <xdr:cNvCxnSpPr/>
        </xdr:nvCxnSpPr>
        <xdr:spPr>
          <a:xfrm flipH="1">
            <a:off x="762000" y="6631781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5" name="Straight Connector 2224">
            <a:extLst>
              <a:ext uri="{FF2B5EF4-FFF2-40B4-BE49-F238E27FC236}">
                <a16:creationId xmlns:a16="http://schemas.microsoft.com/office/drawing/2014/main" id="{53BF9EC9-8EBE-4629-941D-FE98E54B8766}"/>
              </a:ext>
            </a:extLst>
          </xdr:cNvPr>
          <xdr:cNvCxnSpPr/>
        </xdr:nvCxnSpPr>
        <xdr:spPr>
          <a:xfrm flipH="1">
            <a:off x="395288" y="67160759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6" name="Straight Connector 2225">
            <a:extLst>
              <a:ext uri="{FF2B5EF4-FFF2-40B4-BE49-F238E27FC236}">
                <a16:creationId xmlns:a16="http://schemas.microsoft.com/office/drawing/2014/main" id="{E7BEF26B-4348-40FE-B4AD-9E652F15E1DF}"/>
              </a:ext>
            </a:extLst>
          </xdr:cNvPr>
          <xdr:cNvCxnSpPr/>
        </xdr:nvCxnSpPr>
        <xdr:spPr>
          <a:xfrm flipH="1">
            <a:off x="766764" y="6712266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7" name="Straight Connector 2226">
            <a:extLst>
              <a:ext uri="{FF2B5EF4-FFF2-40B4-BE49-F238E27FC236}">
                <a16:creationId xmlns:a16="http://schemas.microsoft.com/office/drawing/2014/main" id="{DB8AD043-F2F9-4BDA-AE2F-599A0A64FF35}"/>
              </a:ext>
            </a:extLst>
          </xdr:cNvPr>
          <xdr:cNvCxnSpPr/>
        </xdr:nvCxnSpPr>
        <xdr:spPr>
          <a:xfrm>
            <a:off x="485776" y="64517588"/>
            <a:ext cx="0" cy="27098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8" name="Straight Connector 2227">
            <a:extLst>
              <a:ext uri="{FF2B5EF4-FFF2-40B4-BE49-F238E27FC236}">
                <a16:creationId xmlns:a16="http://schemas.microsoft.com/office/drawing/2014/main" id="{1855BAF9-975B-4EF1-983A-7D2F221EDABA}"/>
              </a:ext>
            </a:extLst>
          </xdr:cNvPr>
          <xdr:cNvCxnSpPr/>
        </xdr:nvCxnSpPr>
        <xdr:spPr>
          <a:xfrm flipH="1">
            <a:off x="442913" y="6454616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9" name="Straight Connector 2228">
            <a:extLst>
              <a:ext uri="{FF2B5EF4-FFF2-40B4-BE49-F238E27FC236}">
                <a16:creationId xmlns:a16="http://schemas.microsoft.com/office/drawing/2014/main" id="{4F011352-6DFA-4D93-A470-1BFD14A0EB79}"/>
              </a:ext>
            </a:extLst>
          </xdr:cNvPr>
          <xdr:cNvCxnSpPr/>
        </xdr:nvCxnSpPr>
        <xdr:spPr>
          <a:xfrm flipH="1">
            <a:off x="442914" y="6711789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0" name="Straight Connector 2229">
            <a:extLst>
              <a:ext uri="{FF2B5EF4-FFF2-40B4-BE49-F238E27FC236}">
                <a16:creationId xmlns:a16="http://schemas.microsoft.com/office/drawing/2014/main" id="{1367D763-6B4C-4ADE-9331-742A81794750}"/>
              </a:ext>
            </a:extLst>
          </xdr:cNvPr>
          <xdr:cNvCxnSpPr/>
        </xdr:nvCxnSpPr>
        <xdr:spPr>
          <a:xfrm flipH="1">
            <a:off x="723900" y="65765361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1" name="Straight Connector 2230">
            <a:extLst>
              <a:ext uri="{FF2B5EF4-FFF2-40B4-BE49-F238E27FC236}">
                <a16:creationId xmlns:a16="http://schemas.microsoft.com/office/drawing/2014/main" id="{232330EA-8AF8-42E6-8DF3-05898B7D348F}"/>
              </a:ext>
            </a:extLst>
          </xdr:cNvPr>
          <xdr:cNvCxnSpPr/>
        </xdr:nvCxnSpPr>
        <xdr:spPr>
          <a:xfrm flipH="1">
            <a:off x="762000" y="657272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2" name="Straight Connector 2231">
            <a:extLst>
              <a:ext uri="{FF2B5EF4-FFF2-40B4-BE49-F238E27FC236}">
                <a16:creationId xmlns:a16="http://schemas.microsoft.com/office/drawing/2014/main" id="{02F572E8-0B72-4483-B644-72F5641124C7}"/>
              </a:ext>
            </a:extLst>
          </xdr:cNvPr>
          <xdr:cNvCxnSpPr/>
        </xdr:nvCxnSpPr>
        <xdr:spPr>
          <a:xfrm>
            <a:off x="4695825" y="64512825"/>
            <a:ext cx="0" cy="27098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3" name="Straight Connector 2232">
            <a:extLst>
              <a:ext uri="{FF2B5EF4-FFF2-40B4-BE49-F238E27FC236}">
                <a16:creationId xmlns:a16="http://schemas.microsoft.com/office/drawing/2014/main" id="{0A44ECB9-1029-4FD5-AF88-CE4F68E3EB2C}"/>
              </a:ext>
            </a:extLst>
          </xdr:cNvPr>
          <xdr:cNvCxnSpPr/>
        </xdr:nvCxnSpPr>
        <xdr:spPr>
          <a:xfrm>
            <a:off x="4414838" y="67160760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4" name="Straight Connector 2233">
            <a:extLst>
              <a:ext uri="{FF2B5EF4-FFF2-40B4-BE49-F238E27FC236}">
                <a16:creationId xmlns:a16="http://schemas.microsoft.com/office/drawing/2014/main" id="{B31FC524-320E-4912-9944-7157BB8093CF}"/>
              </a:ext>
            </a:extLst>
          </xdr:cNvPr>
          <xdr:cNvCxnSpPr/>
        </xdr:nvCxnSpPr>
        <xdr:spPr>
          <a:xfrm>
            <a:off x="4410075" y="6458902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5" name="Straight Connector 2234">
            <a:extLst>
              <a:ext uri="{FF2B5EF4-FFF2-40B4-BE49-F238E27FC236}">
                <a16:creationId xmlns:a16="http://schemas.microsoft.com/office/drawing/2014/main" id="{F2378FB0-E83F-453E-97E6-25CF681EE2F8}"/>
              </a:ext>
            </a:extLst>
          </xdr:cNvPr>
          <xdr:cNvCxnSpPr/>
        </xdr:nvCxnSpPr>
        <xdr:spPr>
          <a:xfrm flipH="1">
            <a:off x="4648200" y="6455092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6" name="Straight Connector 2235">
            <a:extLst>
              <a:ext uri="{FF2B5EF4-FFF2-40B4-BE49-F238E27FC236}">
                <a16:creationId xmlns:a16="http://schemas.microsoft.com/office/drawing/2014/main" id="{BD629B71-987B-4598-A7B0-2B40589CE40D}"/>
              </a:ext>
            </a:extLst>
          </xdr:cNvPr>
          <xdr:cNvCxnSpPr/>
        </xdr:nvCxnSpPr>
        <xdr:spPr>
          <a:xfrm flipH="1">
            <a:off x="4648201" y="6711789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7" name="Straight Connector 2236">
            <a:extLst>
              <a:ext uri="{FF2B5EF4-FFF2-40B4-BE49-F238E27FC236}">
                <a16:creationId xmlns:a16="http://schemas.microsoft.com/office/drawing/2014/main" id="{F2C1DB47-B5C0-48AD-8722-F48DA270E4BC}"/>
              </a:ext>
            </a:extLst>
          </xdr:cNvPr>
          <xdr:cNvCxnSpPr/>
        </xdr:nvCxnSpPr>
        <xdr:spPr>
          <a:xfrm>
            <a:off x="3638550" y="66160650"/>
            <a:ext cx="11287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8" name="Straight Connector 2237">
            <a:extLst>
              <a:ext uri="{FF2B5EF4-FFF2-40B4-BE49-F238E27FC236}">
                <a16:creationId xmlns:a16="http://schemas.microsoft.com/office/drawing/2014/main" id="{380B93E9-D38C-4EEA-B33A-8FEC7ECB19FD}"/>
              </a:ext>
            </a:extLst>
          </xdr:cNvPr>
          <xdr:cNvCxnSpPr/>
        </xdr:nvCxnSpPr>
        <xdr:spPr>
          <a:xfrm flipH="1">
            <a:off x="4652964" y="6611778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9" name="Straight Connector 2238">
            <a:extLst>
              <a:ext uri="{FF2B5EF4-FFF2-40B4-BE49-F238E27FC236}">
                <a16:creationId xmlns:a16="http://schemas.microsoft.com/office/drawing/2014/main" id="{1C63C6F2-6E14-4DD5-A6BD-E99615DB0DCF}"/>
              </a:ext>
            </a:extLst>
          </xdr:cNvPr>
          <xdr:cNvCxnSpPr/>
        </xdr:nvCxnSpPr>
        <xdr:spPr>
          <a:xfrm>
            <a:off x="3238500" y="65951100"/>
            <a:ext cx="0" cy="127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1" name="Straight Connector 2240">
            <a:extLst>
              <a:ext uri="{FF2B5EF4-FFF2-40B4-BE49-F238E27FC236}">
                <a16:creationId xmlns:a16="http://schemas.microsoft.com/office/drawing/2014/main" id="{AD8C0EAB-9DDC-4F0C-A25B-0F9FF221F7CB}"/>
              </a:ext>
            </a:extLst>
          </xdr:cNvPr>
          <xdr:cNvCxnSpPr/>
        </xdr:nvCxnSpPr>
        <xdr:spPr>
          <a:xfrm flipH="1">
            <a:off x="3186112" y="6597015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2" name="Straight Connector 2241">
            <a:extLst>
              <a:ext uri="{FF2B5EF4-FFF2-40B4-BE49-F238E27FC236}">
                <a16:creationId xmlns:a16="http://schemas.microsoft.com/office/drawing/2014/main" id="{AC141CE1-2FC7-4AB6-96DC-7066FBF427A4}"/>
              </a:ext>
            </a:extLst>
          </xdr:cNvPr>
          <xdr:cNvCxnSpPr/>
        </xdr:nvCxnSpPr>
        <xdr:spPr>
          <a:xfrm flipH="1">
            <a:off x="2581275" y="65727263"/>
            <a:ext cx="2428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3" name="Straight Connector 2242">
            <a:extLst>
              <a:ext uri="{FF2B5EF4-FFF2-40B4-BE49-F238E27FC236}">
                <a16:creationId xmlns:a16="http://schemas.microsoft.com/office/drawing/2014/main" id="{F9DF9E78-7C19-4E00-915C-C9D056F8A632}"/>
              </a:ext>
            </a:extLst>
          </xdr:cNvPr>
          <xdr:cNvCxnSpPr/>
        </xdr:nvCxnSpPr>
        <xdr:spPr>
          <a:xfrm>
            <a:off x="2647955" y="65632009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4" name="Straight Connector 2243">
            <a:extLst>
              <a:ext uri="{FF2B5EF4-FFF2-40B4-BE49-F238E27FC236}">
                <a16:creationId xmlns:a16="http://schemas.microsoft.com/office/drawing/2014/main" id="{6ABEDBE6-2EFC-472C-8D0C-B0080BE3A3FD}"/>
              </a:ext>
            </a:extLst>
          </xdr:cNvPr>
          <xdr:cNvCxnSpPr/>
        </xdr:nvCxnSpPr>
        <xdr:spPr>
          <a:xfrm flipH="1">
            <a:off x="2595568" y="65684397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5" name="Straight Connector 2244">
            <a:extLst>
              <a:ext uri="{FF2B5EF4-FFF2-40B4-BE49-F238E27FC236}">
                <a16:creationId xmlns:a16="http://schemas.microsoft.com/office/drawing/2014/main" id="{45258227-A294-4750-9DBA-E3B0ADE38080}"/>
              </a:ext>
            </a:extLst>
          </xdr:cNvPr>
          <xdr:cNvCxnSpPr/>
        </xdr:nvCxnSpPr>
        <xdr:spPr>
          <a:xfrm flipH="1">
            <a:off x="2700338" y="65684400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6" name="Straight Connector 2245">
            <a:extLst>
              <a:ext uri="{FF2B5EF4-FFF2-40B4-BE49-F238E27FC236}">
                <a16:creationId xmlns:a16="http://schemas.microsoft.com/office/drawing/2014/main" id="{571B41D0-291E-4F39-88EB-4BE513B8F587}"/>
              </a:ext>
            </a:extLst>
          </xdr:cNvPr>
          <xdr:cNvCxnSpPr/>
        </xdr:nvCxnSpPr>
        <xdr:spPr>
          <a:xfrm flipV="1">
            <a:off x="1857375" y="66165414"/>
            <a:ext cx="0" cy="9953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7" name="Straight Connector 2246">
            <a:extLst>
              <a:ext uri="{FF2B5EF4-FFF2-40B4-BE49-F238E27FC236}">
                <a16:creationId xmlns:a16="http://schemas.microsoft.com/office/drawing/2014/main" id="{EE3051E4-483A-4AC6-A69D-8319BECAF89D}"/>
              </a:ext>
            </a:extLst>
          </xdr:cNvPr>
          <xdr:cNvCxnSpPr/>
        </xdr:nvCxnSpPr>
        <xdr:spPr>
          <a:xfrm flipV="1">
            <a:off x="3648075" y="66184465"/>
            <a:ext cx="0" cy="966785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48" name="Arc 2247">
            <a:extLst>
              <a:ext uri="{FF2B5EF4-FFF2-40B4-BE49-F238E27FC236}">
                <a16:creationId xmlns:a16="http://schemas.microsoft.com/office/drawing/2014/main" id="{D50D6D82-8FB7-46E7-B0A5-7C6D5E40EE59}"/>
              </a:ext>
            </a:extLst>
          </xdr:cNvPr>
          <xdr:cNvSpPr/>
        </xdr:nvSpPr>
        <xdr:spPr>
          <a:xfrm rot="16200000">
            <a:off x="1857375" y="65284350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49" name="Straight Connector 2248">
            <a:extLst>
              <a:ext uri="{FF2B5EF4-FFF2-40B4-BE49-F238E27FC236}">
                <a16:creationId xmlns:a16="http://schemas.microsoft.com/office/drawing/2014/main" id="{67BBDB5D-A300-4C5D-BC0A-C334DF3C2904}"/>
              </a:ext>
            </a:extLst>
          </xdr:cNvPr>
          <xdr:cNvCxnSpPr/>
        </xdr:nvCxnSpPr>
        <xdr:spPr>
          <a:xfrm>
            <a:off x="1057275" y="67732275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0" name="Straight Connector 2249">
            <a:extLst>
              <a:ext uri="{FF2B5EF4-FFF2-40B4-BE49-F238E27FC236}">
                <a16:creationId xmlns:a16="http://schemas.microsoft.com/office/drawing/2014/main" id="{891B98CC-612F-40CB-9BB4-DC4E1912B4F0}"/>
              </a:ext>
            </a:extLst>
          </xdr:cNvPr>
          <xdr:cNvCxnSpPr/>
        </xdr:nvCxnSpPr>
        <xdr:spPr>
          <a:xfrm flipH="1">
            <a:off x="1814513" y="6768941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1" name="Straight Connector 2250">
            <a:extLst>
              <a:ext uri="{FF2B5EF4-FFF2-40B4-BE49-F238E27FC236}">
                <a16:creationId xmlns:a16="http://schemas.microsoft.com/office/drawing/2014/main" id="{35F2423C-69AA-4A64-AA2B-53EC5100283B}"/>
              </a:ext>
            </a:extLst>
          </xdr:cNvPr>
          <xdr:cNvCxnSpPr/>
        </xdr:nvCxnSpPr>
        <xdr:spPr>
          <a:xfrm flipH="1">
            <a:off x="4329114" y="6740842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2" name="Straight Connector 2251">
            <a:extLst>
              <a:ext uri="{FF2B5EF4-FFF2-40B4-BE49-F238E27FC236}">
                <a16:creationId xmlns:a16="http://schemas.microsoft.com/office/drawing/2014/main" id="{9F7CD7D8-8580-483E-AD27-1430ED335B5B}"/>
              </a:ext>
            </a:extLst>
          </xdr:cNvPr>
          <xdr:cNvCxnSpPr/>
        </xdr:nvCxnSpPr>
        <xdr:spPr>
          <a:xfrm>
            <a:off x="2181237" y="64231838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3" name="Straight Connector 2252">
            <a:extLst>
              <a:ext uri="{FF2B5EF4-FFF2-40B4-BE49-F238E27FC236}">
                <a16:creationId xmlns:a16="http://schemas.microsoft.com/office/drawing/2014/main" id="{6CF36BF8-FA9D-4911-8526-6CBB3ECBB37C}"/>
              </a:ext>
            </a:extLst>
          </xdr:cNvPr>
          <xdr:cNvCxnSpPr/>
        </xdr:nvCxnSpPr>
        <xdr:spPr>
          <a:xfrm flipH="1">
            <a:off x="2138376" y="642556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4" name="Straight Connector 2253">
            <a:extLst>
              <a:ext uri="{FF2B5EF4-FFF2-40B4-BE49-F238E27FC236}">
                <a16:creationId xmlns:a16="http://schemas.microsoft.com/office/drawing/2014/main" id="{E57DC70C-A79A-4A8B-9FB1-F9704CEC1D23}"/>
              </a:ext>
            </a:extLst>
          </xdr:cNvPr>
          <xdr:cNvCxnSpPr/>
        </xdr:nvCxnSpPr>
        <xdr:spPr>
          <a:xfrm>
            <a:off x="3319474" y="6424136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5" name="Straight Connector 2254">
            <a:extLst>
              <a:ext uri="{FF2B5EF4-FFF2-40B4-BE49-F238E27FC236}">
                <a16:creationId xmlns:a16="http://schemas.microsoft.com/office/drawing/2014/main" id="{05D84D01-F2C5-44EC-91BA-46B1F2F117AA}"/>
              </a:ext>
            </a:extLst>
          </xdr:cNvPr>
          <xdr:cNvCxnSpPr/>
        </xdr:nvCxnSpPr>
        <xdr:spPr>
          <a:xfrm flipH="1">
            <a:off x="3271850" y="6426517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6" name="Straight Connector 2255">
            <a:extLst>
              <a:ext uri="{FF2B5EF4-FFF2-40B4-BE49-F238E27FC236}">
                <a16:creationId xmlns:a16="http://schemas.microsoft.com/office/drawing/2014/main" id="{A72AD290-36D9-4374-B902-FD9A3FC0A110}"/>
              </a:ext>
            </a:extLst>
          </xdr:cNvPr>
          <xdr:cNvCxnSpPr/>
        </xdr:nvCxnSpPr>
        <xdr:spPr>
          <a:xfrm>
            <a:off x="1066799" y="68303774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7" name="Straight Connector 2256">
            <a:extLst>
              <a:ext uri="{FF2B5EF4-FFF2-40B4-BE49-F238E27FC236}">
                <a16:creationId xmlns:a16="http://schemas.microsoft.com/office/drawing/2014/main" id="{74E7DC2D-0980-457F-B070-40F857483E68}"/>
              </a:ext>
            </a:extLst>
          </xdr:cNvPr>
          <xdr:cNvCxnSpPr/>
        </xdr:nvCxnSpPr>
        <xdr:spPr>
          <a:xfrm flipH="1">
            <a:off x="1090613" y="682656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8" name="Straight Connector 2257">
            <a:extLst>
              <a:ext uri="{FF2B5EF4-FFF2-40B4-BE49-F238E27FC236}">
                <a16:creationId xmlns:a16="http://schemas.microsoft.com/office/drawing/2014/main" id="{76B8F8AE-E29C-43E4-BC1F-B16460601798}"/>
              </a:ext>
            </a:extLst>
          </xdr:cNvPr>
          <xdr:cNvCxnSpPr/>
        </xdr:nvCxnSpPr>
        <xdr:spPr>
          <a:xfrm flipH="1">
            <a:off x="4329113" y="682656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9" name="Straight Connector 2258">
            <a:extLst>
              <a:ext uri="{FF2B5EF4-FFF2-40B4-BE49-F238E27FC236}">
                <a16:creationId xmlns:a16="http://schemas.microsoft.com/office/drawing/2014/main" id="{F2F911D5-D6E4-45B3-9A77-F10A024B99BC}"/>
              </a:ext>
            </a:extLst>
          </xdr:cNvPr>
          <xdr:cNvCxnSpPr/>
        </xdr:nvCxnSpPr>
        <xdr:spPr>
          <a:xfrm flipH="1">
            <a:off x="1090612" y="676941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0" name="Straight Connector 2259">
            <a:extLst>
              <a:ext uri="{FF2B5EF4-FFF2-40B4-BE49-F238E27FC236}">
                <a16:creationId xmlns:a16="http://schemas.microsoft.com/office/drawing/2014/main" id="{1D3BFA6B-6A96-45F1-8854-1287BC6D84ED}"/>
              </a:ext>
            </a:extLst>
          </xdr:cNvPr>
          <xdr:cNvCxnSpPr/>
        </xdr:nvCxnSpPr>
        <xdr:spPr>
          <a:xfrm flipH="1">
            <a:off x="4329112" y="676941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1" name="Straight Connector 2260">
            <a:extLst>
              <a:ext uri="{FF2B5EF4-FFF2-40B4-BE49-F238E27FC236}">
                <a16:creationId xmlns:a16="http://schemas.microsoft.com/office/drawing/2014/main" id="{A3E395D4-71D4-44AE-AAB9-F5D066604491}"/>
              </a:ext>
            </a:extLst>
          </xdr:cNvPr>
          <xdr:cNvCxnSpPr/>
        </xdr:nvCxnSpPr>
        <xdr:spPr>
          <a:xfrm flipH="1">
            <a:off x="2709862" y="6769417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2" name="Straight Connector 2261">
            <a:extLst>
              <a:ext uri="{FF2B5EF4-FFF2-40B4-BE49-F238E27FC236}">
                <a16:creationId xmlns:a16="http://schemas.microsoft.com/office/drawing/2014/main" id="{653B58F2-F441-47BF-97DC-7BAEE5A75AF1}"/>
              </a:ext>
            </a:extLst>
          </xdr:cNvPr>
          <xdr:cNvCxnSpPr/>
        </xdr:nvCxnSpPr>
        <xdr:spPr>
          <a:xfrm>
            <a:off x="2762250" y="663606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3" name="Straight Connector 2262">
            <a:extLst>
              <a:ext uri="{FF2B5EF4-FFF2-40B4-BE49-F238E27FC236}">
                <a16:creationId xmlns:a16="http://schemas.microsoft.com/office/drawing/2014/main" id="{6AFFCD73-4A8F-4EE4-B876-9545AB64B9D9}"/>
              </a:ext>
            </a:extLst>
          </xdr:cNvPr>
          <xdr:cNvCxnSpPr/>
        </xdr:nvCxnSpPr>
        <xdr:spPr>
          <a:xfrm>
            <a:off x="2938462" y="66017775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64" name="Oval 2263">
            <a:extLst>
              <a:ext uri="{FF2B5EF4-FFF2-40B4-BE49-F238E27FC236}">
                <a16:creationId xmlns:a16="http://schemas.microsoft.com/office/drawing/2014/main" id="{CC00F03B-E468-4AF0-A169-23331941A2E2}"/>
              </a:ext>
            </a:extLst>
          </xdr:cNvPr>
          <xdr:cNvSpPr/>
        </xdr:nvSpPr>
        <xdr:spPr>
          <a:xfrm>
            <a:off x="2729866" y="6613302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65" name="Straight Connector 2264">
            <a:extLst>
              <a:ext uri="{FF2B5EF4-FFF2-40B4-BE49-F238E27FC236}">
                <a16:creationId xmlns:a16="http://schemas.microsoft.com/office/drawing/2014/main" id="{ACA1421D-D213-4423-90E0-EB3C79E659EE}"/>
              </a:ext>
            </a:extLst>
          </xdr:cNvPr>
          <xdr:cNvCxnSpPr/>
        </xdr:nvCxnSpPr>
        <xdr:spPr>
          <a:xfrm>
            <a:off x="2195513" y="66160650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6" name="Straight Connector 2265">
            <a:extLst>
              <a:ext uri="{FF2B5EF4-FFF2-40B4-BE49-F238E27FC236}">
                <a16:creationId xmlns:a16="http://schemas.microsoft.com/office/drawing/2014/main" id="{A71D158B-9DCD-4573-A4B7-7E310B0A1882}"/>
              </a:ext>
            </a:extLst>
          </xdr:cNvPr>
          <xdr:cNvCxnSpPr/>
        </xdr:nvCxnSpPr>
        <xdr:spPr>
          <a:xfrm flipV="1">
            <a:off x="2266950" y="65960625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7" name="Straight Connector 2266">
            <a:extLst>
              <a:ext uri="{FF2B5EF4-FFF2-40B4-BE49-F238E27FC236}">
                <a16:creationId xmlns:a16="http://schemas.microsoft.com/office/drawing/2014/main" id="{AEB4CCE7-C1B8-4350-8B9C-CDE5AE419296}"/>
              </a:ext>
            </a:extLst>
          </xdr:cNvPr>
          <xdr:cNvCxnSpPr/>
        </xdr:nvCxnSpPr>
        <xdr:spPr>
          <a:xfrm flipH="1">
            <a:off x="2190750" y="6601777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8" name="Straight Connector 2267">
            <a:extLst>
              <a:ext uri="{FF2B5EF4-FFF2-40B4-BE49-F238E27FC236}">
                <a16:creationId xmlns:a16="http://schemas.microsoft.com/office/drawing/2014/main" id="{4688F4CF-3DE4-4FBF-BAC2-AC0954AB00C5}"/>
              </a:ext>
            </a:extLst>
          </xdr:cNvPr>
          <xdr:cNvCxnSpPr/>
        </xdr:nvCxnSpPr>
        <xdr:spPr>
          <a:xfrm flipH="1">
            <a:off x="2224088" y="65984438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9" name="Straight Connector 2268">
            <a:extLst>
              <a:ext uri="{FF2B5EF4-FFF2-40B4-BE49-F238E27FC236}">
                <a16:creationId xmlns:a16="http://schemas.microsoft.com/office/drawing/2014/main" id="{6A1F319A-5B18-4CA0-86E7-F90319AA08D3}"/>
              </a:ext>
            </a:extLst>
          </xdr:cNvPr>
          <xdr:cNvCxnSpPr/>
        </xdr:nvCxnSpPr>
        <xdr:spPr>
          <a:xfrm flipH="1">
            <a:off x="2228850" y="66122550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0" name="Straight Connector 2269">
            <a:extLst>
              <a:ext uri="{FF2B5EF4-FFF2-40B4-BE49-F238E27FC236}">
                <a16:creationId xmlns:a16="http://schemas.microsoft.com/office/drawing/2014/main" id="{AB791D43-C20F-4AE3-AB6A-7270EB401752}"/>
              </a:ext>
            </a:extLst>
          </xdr:cNvPr>
          <xdr:cNvCxnSpPr/>
        </xdr:nvCxnSpPr>
        <xdr:spPr>
          <a:xfrm flipH="1">
            <a:off x="3190874" y="663178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1" name="Straight Connector 2270">
            <a:extLst>
              <a:ext uri="{FF2B5EF4-FFF2-40B4-BE49-F238E27FC236}">
                <a16:creationId xmlns:a16="http://schemas.microsoft.com/office/drawing/2014/main" id="{B31B9B11-49D0-467A-B92A-558DE8C83CBA}"/>
              </a:ext>
            </a:extLst>
          </xdr:cNvPr>
          <xdr:cNvCxnSpPr/>
        </xdr:nvCxnSpPr>
        <xdr:spPr>
          <a:xfrm>
            <a:off x="2767012" y="665797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2" name="Straight Connector 2271">
            <a:extLst>
              <a:ext uri="{FF2B5EF4-FFF2-40B4-BE49-F238E27FC236}">
                <a16:creationId xmlns:a16="http://schemas.microsoft.com/office/drawing/2014/main" id="{51BD441F-2300-4CB5-ADD2-A20A7C5FE79E}"/>
              </a:ext>
            </a:extLst>
          </xdr:cNvPr>
          <xdr:cNvCxnSpPr/>
        </xdr:nvCxnSpPr>
        <xdr:spPr>
          <a:xfrm flipH="1">
            <a:off x="3195636" y="665368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3" name="Straight Connector 2272">
            <a:extLst>
              <a:ext uri="{FF2B5EF4-FFF2-40B4-BE49-F238E27FC236}">
                <a16:creationId xmlns:a16="http://schemas.microsoft.com/office/drawing/2014/main" id="{2D6B61C5-48F9-4CC1-8E44-430D51C839FC}"/>
              </a:ext>
            </a:extLst>
          </xdr:cNvPr>
          <xdr:cNvCxnSpPr/>
        </xdr:nvCxnSpPr>
        <xdr:spPr>
          <a:xfrm>
            <a:off x="2762249" y="6688931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4" name="Straight Connector 2273">
            <a:extLst>
              <a:ext uri="{FF2B5EF4-FFF2-40B4-BE49-F238E27FC236}">
                <a16:creationId xmlns:a16="http://schemas.microsoft.com/office/drawing/2014/main" id="{6CA0BCE5-EFB4-425C-A0A8-36A1E9708A9A}"/>
              </a:ext>
            </a:extLst>
          </xdr:cNvPr>
          <xdr:cNvCxnSpPr/>
        </xdr:nvCxnSpPr>
        <xdr:spPr>
          <a:xfrm flipH="1">
            <a:off x="3190873" y="668464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7" name="Straight Connector 2276">
            <a:extLst>
              <a:ext uri="{FF2B5EF4-FFF2-40B4-BE49-F238E27FC236}">
                <a16:creationId xmlns:a16="http://schemas.microsoft.com/office/drawing/2014/main" id="{0FCE388A-94E2-4AA3-ABA0-EF5A7D3107F4}"/>
              </a:ext>
            </a:extLst>
          </xdr:cNvPr>
          <xdr:cNvCxnSpPr/>
        </xdr:nvCxnSpPr>
        <xdr:spPr>
          <a:xfrm>
            <a:off x="2762248" y="6702266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8" name="Straight Connector 2277">
            <a:extLst>
              <a:ext uri="{FF2B5EF4-FFF2-40B4-BE49-F238E27FC236}">
                <a16:creationId xmlns:a16="http://schemas.microsoft.com/office/drawing/2014/main" id="{31A6890B-B1C8-44AE-944B-A8BA9DB2BCB0}"/>
              </a:ext>
            </a:extLst>
          </xdr:cNvPr>
          <xdr:cNvCxnSpPr/>
        </xdr:nvCxnSpPr>
        <xdr:spPr>
          <a:xfrm flipH="1">
            <a:off x="3190872" y="669798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9" name="Straight Connector 2278">
            <a:extLst>
              <a:ext uri="{FF2B5EF4-FFF2-40B4-BE49-F238E27FC236}">
                <a16:creationId xmlns:a16="http://schemas.microsoft.com/office/drawing/2014/main" id="{0DB665D8-BECE-4BD3-8D81-2B458E0577EC}"/>
              </a:ext>
            </a:extLst>
          </xdr:cNvPr>
          <xdr:cNvCxnSpPr/>
        </xdr:nvCxnSpPr>
        <xdr:spPr>
          <a:xfrm>
            <a:off x="2762248" y="6673215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0" name="Straight Connector 2279">
            <a:extLst>
              <a:ext uri="{FF2B5EF4-FFF2-40B4-BE49-F238E27FC236}">
                <a16:creationId xmlns:a16="http://schemas.microsoft.com/office/drawing/2014/main" id="{1596F7F6-4286-4776-AE47-E144832733C0}"/>
              </a:ext>
            </a:extLst>
          </xdr:cNvPr>
          <xdr:cNvCxnSpPr/>
        </xdr:nvCxnSpPr>
        <xdr:spPr>
          <a:xfrm flipH="1">
            <a:off x="3190872" y="666892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81" name="Oval 2280">
            <a:extLst>
              <a:ext uri="{FF2B5EF4-FFF2-40B4-BE49-F238E27FC236}">
                <a16:creationId xmlns:a16="http://schemas.microsoft.com/office/drawing/2014/main" id="{EA07E945-FE62-47F9-AF23-EDE8027EF36A}"/>
              </a:ext>
            </a:extLst>
          </xdr:cNvPr>
          <xdr:cNvSpPr/>
        </xdr:nvSpPr>
        <xdr:spPr>
          <a:xfrm>
            <a:off x="1833563" y="66132075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82" name="Oval 2281">
            <a:extLst>
              <a:ext uri="{FF2B5EF4-FFF2-40B4-BE49-F238E27FC236}">
                <a16:creationId xmlns:a16="http://schemas.microsoft.com/office/drawing/2014/main" id="{7B42DD3B-5E5B-43DB-820F-378F7DBEA611}"/>
              </a:ext>
            </a:extLst>
          </xdr:cNvPr>
          <xdr:cNvSpPr/>
        </xdr:nvSpPr>
        <xdr:spPr>
          <a:xfrm>
            <a:off x="3624263" y="6613683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83" name="Straight Connector 2282">
            <a:extLst>
              <a:ext uri="{FF2B5EF4-FFF2-40B4-BE49-F238E27FC236}">
                <a16:creationId xmlns:a16="http://schemas.microsoft.com/office/drawing/2014/main" id="{8A7B4D05-EA96-47FF-A9BD-3CA067542F53}"/>
              </a:ext>
            </a:extLst>
          </xdr:cNvPr>
          <xdr:cNvCxnSpPr/>
        </xdr:nvCxnSpPr>
        <xdr:spPr>
          <a:xfrm>
            <a:off x="4781550" y="66017775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4" name="Straight Connector 2283">
            <a:extLst>
              <a:ext uri="{FF2B5EF4-FFF2-40B4-BE49-F238E27FC236}">
                <a16:creationId xmlns:a16="http://schemas.microsoft.com/office/drawing/2014/main" id="{C812A807-801F-4767-96A1-C28CFE5FBAB3}"/>
              </a:ext>
            </a:extLst>
          </xdr:cNvPr>
          <xdr:cNvCxnSpPr/>
        </xdr:nvCxnSpPr>
        <xdr:spPr>
          <a:xfrm>
            <a:off x="5019675" y="64512825"/>
            <a:ext cx="0" cy="27193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5" name="Straight Connector 2284">
            <a:extLst>
              <a:ext uri="{FF2B5EF4-FFF2-40B4-BE49-F238E27FC236}">
                <a16:creationId xmlns:a16="http://schemas.microsoft.com/office/drawing/2014/main" id="{D657A6CB-4B6D-435D-927E-1B4E094F41F0}"/>
              </a:ext>
            </a:extLst>
          </xdr:cNvPr>
          <xdr:cNvCxnSpPr/>
        </xdr:nvCxnSpPr>
        <xdr:spPr>
          <a:xfrm flipH="1">
            <a:off x="4981576" y="67113135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6" name="Straight Connector 2285">
            <a:extLst>
              <a:ext uri="{FF2B5EF4-FFF2-40B4-BE49-F238E27FC236}">
                <a16:creationId xmlns:a16="http://schemas.microsoft.com/office/drawing/2014/main" id="{47FC8AA1-F362-4C69-B992-826E55C6972C}"/>
              </a:ext>
            </a:extLst>
          </xdr:cNvPr>
          <xdr:cNvCxnSpPr/>
        </xdr:nvCxnSpPr>
        <xdr:spPr>
          <a:xfrm flipH="1">
            <a:off x="4976814" y="659749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7" name="Straight Connector 2286">
            <a:extLst>
              <a:ext uri="{FF2B5EF4-FFF2-40B4-BE49-F238E27FC236}">
                <a16:creationId xmlns:a16="http://schemas.microsoft.com/office/drawing/2014/main" id="{69A13566-995C-4848-9845-E227860DAA64}"/>
              </a:ext>
            </a:extLst>
          </xdr:cNvPr>
          <xdr:cNvCxnSpPr/>
        </xdr:nvCxnSpPr>
        <xdr:spPr>
          <a:xfrm>
            <a:off x="3509962" y="66017775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8" name="Straight Connector 2287">
            <a:extLst>
              <a:ext uri="{FF2B5EF4-FFF2-40B4-BE49-F238E27FC236}">
                <a16:creationId xmlns:a16="http://schemas.microsoft.com/office/drawing/2014/main" id="{65B0840A-C222-40E4-9914-29EC33B24ED3}"/>
              </a:ext>
            </a:extLst>
          </xdr:cNvPr>
          <xdr:cNvCxnSpPr/>
        </xdr:nvCxnSpPr>
        <xdr:spPr>
          <a:xfrm>
            <a:off x="4410075" y="66017775"/>
            <a:ext cx="2571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9" name="Straight Connector 2288">
            <a:extLst>
              <a:ext uri="{FF2B5EF4-FFF2-40B4-BE49-F238E27FC236}">
                <a16:creationId xmlns:a16="http://schemas.microsoft.com/office/drawing/2014/main" id="{9A82FD93-C77E-46AC-9567-9EBC469B8564}"/>
              </a:ext>
            </a:extLst>
          </xdr:cNvPr>
          <xdr:cNvCxnSpPr/>
        </xdr:nvCxnSpPr>
        <xdr:spPr>
          <a:xfrm flipH="1">
            <a:off x="4976813" y="64541400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0" name="Straight Connector 2289">
            <a:extLst>
              <a:ext uri="{FF2B5EF4-FFF2-40B4-BE49-F238E27FC236}">
                <a16:creationId xmlns:a16="http://schemas.microsoft.com/office/drawing/2014/main" id="{853C0C9C-63AA-4727-BBC8-1D3D3D0B2ADD}"/>
              </a:ext>
            </a:extLst>
          </xdr:cNvPr>
          <xdr:cNvCxnSpPr/>
        </xdr:nvCxnSpPr>
        <xdr:spPr>
          <a:xfrm flipH="1">
            <a:off x="3190875" y="671131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33</xdr:col>
      <xdr:colOff>81732</xdr:colOff>
      <xdr:row>611</xdr:row>
      <xdr:rowOff>28576</xdr:rowOff>
    </xdr:from>
    <xdr:to>
      <xdr:col>52</xdr:col>
      <xdr:colOff>32569</xdr:colOff>
      <xdr:row>630</xdr:row>
      <xdr:rowOff>123825</xdr:rowOff>
    </xdr:to>
    <xdr:pic>
      <xdr:nvPicPr>
        <xdr:cNvPr id="2292" name="Picture 2291">
          <a:extLst>
            <a:ext uri="{FF2B5EF4-FFF2-40B4-BE49-F238E27FC236}">
              <a16:creationId xmlns:a16="http://schemas.microsoft.com/office/drawing/2014/main" id="{5A329AA6-7A87-45D2-9155-596228B2C3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37" t="26215" r="58116" b="50958"/>
        <a:stretch/>
      </xdr:blipFill>
      <xdr:spPr bwMode="auto">
        <a:xfrm>
          <a:off x="5425257" y="64474726"/>
          <a:ext cx="3027412" cy="2809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76200</xdr:colOff>
      <xdr:row>648</xdr:row>
      <xdr:rowOff>47625</xdr:rowOff>
    </xdr:from>
    <xdr:to>
      <xdr:col>57</xdr:col>
      <xdr:colOff>142875</xdr:colOff>
      <xdr:row>649</xdr:row>
      <xdr:rowOff>66675</xdr:rowOff>
    </xdr:to>
    <xdr:cxnSp macro="">
      <xdr:nvCxnSpPr>
        <xdr:cNvPr id="2293" name="Straight Arrow Connector 2292">
          <a:extLst>
            <a:ext uri="{FF2B5EF4-FFF2-40B4-BE49-F238E27FC236}">
              <a16:creationId xmlns:a16="http://schemas.microsoft.com/office/drawing/2014/main" id="{346371B4-14F9-4AD0-92C7-892BB26AE50F}"/>
            </a:ext>
          </a:extLst>
        </xdr:cNvPr>
        <xdr:cNvCxnSpPr/>
      </xdr:nvCxnSpPr>
      <xdr:spPr>
        <a:xfrm flipH="1" flipV="1">
          <a:off x="8982075" y="58997850"/>
          <a:ext cx="39052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85725</xdr:colOff>
      <xdr:row>667</xdr:row>
      <xdr:rowOff>66675</xdr:rowOff>
    </xdr:from>
    <xdr:to>
      <xdr:col>46</xdr:col>
      <xdr:colOff>8164</xdr:colOff>
      <xdr:row>673</xdr:row>
      <xdr:rowOff>1360</xdr:rowOff>
    </xdr:to>
    <xdr:grpSp>
      <xdr:nvGrpSpPr>
        <xdr:cNvPr id="2294" name="Group 2293">
          <a:extLst>
            <a:ext uri="{FF2B5EF4-FFF2-40B4-BE49-F238E27FC236}">
              <a16:creationId xmlns:a16="http://schemas.microsoft.com/office/drawing/2014/main" id="{7BCF4422-72FE-4E86-8974-A44A92710C3B}"/>
            </a:ext>
          </a:extLst>
        </xdr:cNvPr>
        <xdr:cNvGrpSpPr/>
      </xdr:nvGrpSpPr>
      <xdr:grpSpPr>
        <a:xfrm>
          <a:off x="5753100" y="103279575"/>
          <a:ext cx="1703614" cy="791935"/>
          <a:chOff x="6076950" y="10163175"/>
          <a:chExt cx="1703614" cy="791935"/>
        </a:xfrm>
      </xdr:grpSpPr>
      <xdr:sp macro="" textlink="">
        <xdr:nvSpPr>
          <xdr:cNvPr id="2295" name="Freeform: Shape 2294">
            <a:extLst>
              <a:ext uri="{FF2B5EF4-FFF2-40B4-BE49-F238E27FC236}">
                <a16:creationId xmlns:a16="http://schemas.microsoft.com/office/drawing/2014/main" id="{87671E77-7E8B-4371-B671-5C6DEB9AF2AD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96" name="Freeform: Shape 2295">
            <a:extLst>
              <a:ext uri="{FF2B5EF4-FFF2-40B4-BE49-F238E27FC236}">
                <a16:creationId xmlns:a16="http://schemas.microsoft.com/office/drawing/2014/main" id="{8AD359C3-9F12-4B0B-8E65-DA07ABA57087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97" name="Freeform: Shape 2296">
            <a:extLst>
              <a:ext uri="{FF2B5EF4-FFF2-40B4-BE49-F238E27FC236}">
                <a16:creationId xmlns:a16="http://schemas.microsoft.com/office/drawing/2014/main" id="{99189013-B0F3-4511-8A2D-A9DB136F848E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298" name="Straight Connector 2297">
            <a:extLst>
              <a:ext uri="{FF2B5EF4-FFF2-40B4-BE49-F238E27FC236}">
                <a16:creationId xmlns:a16="http://schemas.microsoft.com/office/drawing/2014/main" id="{C4575541-19E4-43F5-A95E-91113025A8E6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9" name="Straight Connector 2298">
            <a:extLst>
              <a:ext uri="{FF2B5EF4-FFF2-40B4-BE49-F238E27FC236}">
                <a16:creationId xmlns:a16="http://schemas.microsoft.com/office/drawing/2014/main" id="{5688DBE1-BE9A-4586-A1C2-F6F051E22D67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0" name="Straight Connector 2299">
            <a:extLst>
              <a:ext uri="{FF2B5EF4-FFF2-40B4-BE49-F238E27FC236}">
                <a16:creationId xmlns:a16="http://schemas.microsoft.com/office/drawing/2014/main" id="{FE5DD9A0-F8E7-4614-BDD4-FA1EB86C9F86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1" name="Straight Connector 2300">
            <a:extLst>
              <a:ext uri="{FF2B5EF4-FFF2-40B4-BE49-F238E27FC236}">
                <a16:creationId xmlns:a16="http://schemas.microsoft.com/office/drawing/2014/main" id="{72284388-DAA4-42D1-B23D-703D4BEE19F4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2" name="Straight Connector 2301">
            <a:extLst>
              <a:ext uri="{FF2B5EF4-FFF2-40B4-BE49-F238E27FC236}">
                <a16:creationId xmlns:a16="http://schemas.microsoft.com/office/drawing/2014/main" id="{158D4090-5852-4ED4-B671-5559896D5A38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3" name="Straight Connector 2302">
            <a:extLst>
              <a:ext uri="{FF2B5EF4-FFF2-40B4-BE49-F238E27FC236}">
                <a16:creationId xmlns:a16="http://schemas.microsoft.com/office/drawing/2014/main" id="{99576428-A124-417E-BF7C-D54246BE8A53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4" name="Straight Connector 2303">
            <a:extLst>
              <a:ext uri="{FF2B5EF4-FFF2-40B4-BE49-F238E27FC236}">
                <a16:creationId xmlns:a16="http://schemas.microsoft.com/office/drawing/2014/main" id="{503AC47C-6E91-4602-964A-BD53C3EFD66D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5" name="Straight Connector 2304">
            <a:extLst>
              <a:ext uri="{FF2B5EF4-FFF2-40B4-BE49-F238E27FC236}">
                <a16:creationId xmlns:a16="http://schemas.microsoft.com/office/drawing/2014/main" id="{4D04691B-4B39-463A-9EE1-2B3515B74930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6" name="Straight Connector 2305">
            <a:extLst>
              <a:ext uri="{FF2B5EF4-FFF2-40B4-BE49-F238E27FC236}">
                <a16:creationId xmlns:a16="http://schemas.microsoft.com/office/drawing/2014/main" id="{19F69360-9FAC-44D5-9CFF-CFA794FB325C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7" name="Straight Connector 2306">
            <a:extLst>
              <a:ext uri="{FF2B5EF4-FFF2-40B4-BE49-F238E27FC236}">
                <a16:creationId xmlns:a16="http://schemas.microsoft.com/office/drawing/2014/main" id="{19E2A512-1DB4-4162-A53C-995FD3BE5589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08" name="Freeform: Shape 2307">
            <a:extLst>
              <a:ext uri="{FF2B5EF4-FFF2-40B4-BE49-F238E27FC236}">
                <a16:creationId xmlns:a16="http://schemas.microsoft.com/office/drawing/2014/main" id="{9285F982-888D-41A4-9886-F090D6CAB9A4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642</xdr:row>
      <xdr:rowOff>61913</xdr:rowOff>
    </xdr:from>
    <xdr:to>
      <xdr:col>31</xdr:col>
      <xdr:colOff>90488</xdr:colOff>
      <xdr:row>673</xdr:row>
      <xdr:rowOff>85725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39373882-979E-4564-A197-77CD041D577C}"/>
            </a:ext>
          </a:extLst>
        </xdr:cNvPr>
        <xdr:cNvGrpSpPr/>
      </xdr:nvGrpSpPr>
      <xdr:grpSpPr>
        <a:xfrm>
          <a:off x="395288" y="99702938"/>
          <a:ext cx="4714875" cy="4452937"/>
          <a:chOff x="395288" y="69432488"/>
          <a:chExt cx="4714875" cy="4452937"/>
        </a:xfrm>
      </xdr:grpSpPr>
      <xdr:cxnSp macro="">
        <xdr:nvCxnSpPr>
          <xdr:cNvPr id="2311" name="Straight Connector 2310">
            <a:extLst>
              <a:ext uri="{FF2B5EF4-FFF2-40B4-BE49-F238E27FC236}">
                <a16:creationId xmlns:a16="http://schemas.microsoft.com/office/drawing/2014/main" id="{909C6098-D1B2-45FF-9838-A435F02C0AE8}"/>
              </a:ext>
            </a:extLst>
          </xdr:cNvPr>
          <xdr:cNvCxnSpPr/>
        </xdr:nvCxnSpPr>
        <xdr:spPr>
          <a:xfrm>
            <a:off x="3238500" y="71447025"/>
            <a:ext cx="0" cy="12715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2" name="Straight Connector 2311">
            <a:extLst>
              <a:ext uri="{FF2B5EF4-FFF2-40B4-BE49-F238E27FC236}">
                <a16:creationId xmlns:a16="http://schemas.microsoft.com/office/drawing/2014/main" id="{0E6ACBEF-47C9-495F-8767-3F446421E26F}"/>
              </a:ext>
            </a:extLst>
          </xdr:cNvPr>
          <xdr:cNvCxnSpPr/>
        </xdr:nvCxnSpPr>
        <xdr:spPr>
          <a:xfrm flipH="1">
            <a:off x="2757488" y="70089713"/>
            <a:ext cx="319087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3" name="Straight Connector 2312">
            <a:extLst>
              <a:ext uri="{FF2B5EF4-FFF2-40B4-BE49-F238E27FC236}">
                <a16:creationId xmlns:a16="http://schemas.microsoft.com/office/drawing/2014/main" id="{3C05EFB9-2485-4012-B35B-8EC5536A1F6D}"/>
              </a:ext>
            </a:extLst>
          </xdr:cNvPr>
          <xdr:cNvCxnSpPr/>
        </xdr:nvCxnSpPr>
        <xdr:spPr>
          <a:xfrm>
            <a:off x="1666875" y="70089713"/>
            <a:ext cx="1081088" cy="1980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4" name="Straight Connector 2313">
            <a:extLst>
              <a:ext uri="{FF2B5EF4-FFF2-40B4-BE49-F238E27FC236}">
                <a16:creationId xmlns:a16="http://schemas.microsoft.com/office/drawing/2014/main" id="{4DA3EC09-58DF-4365-9790-007175FFD32B}"/>
              </a:ext>
            </a:extLst>
          </xdr:cNvPr>
          <xdr:cNvCxnSpPr/>
        </xdr:nvCxnSpPr>
        <xdr:spPr>
          <a:xfrm>
            <a:off x="1133475" y="70904100"/>
            <a:ext cx="1624013" cy="1481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5" name="Straight Connector 2314">
            <a:extLst>
              <a:ext uri="{FF2B5EF4-FFF2-40B4-BE49-F238E27FC236}">
                <a16:creationId xmlns:a16="http://schemas.microsoft.com/office/drawing/2014/main" id="{A11D12F8-F3B2-4A09-9168-DD4208DF7EA9}"/>
              </a:ext>
            </a:extLst>
          </xdr:cNvPr>
          <xdr:cNvCxnSpPr/>
        </xdr:nvCxnSpPr>
        <xdr:spPr>
          <a:xfrm>
            <a:off x="1138238" y="71689913"/>
            <a:ext cx="1614487" cy="823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7" name="Straight Connector 2316">
            <a:extLst>
              <a:ext uri="{FF2B5EF4-FFF2-40B4-BE49-F238E27FC236}">
                <a16:creationId xmlns:a16="http://schemas.microsoft.com/office/drawing/2014/main" id="{9C72F157-7225-48E7-9D55-ECECFE760DF2}"/>
              </a:ext>
            </a:extLst>
          </xdr:cNvPr>
          <xdr:cNvCxnSpPr/>
        </xdr:nvCxnSpPr>
        <xdr:spPr>
          <a:xfrm flipV="1">
            <a:off x="2752725" y="71680388"/>
            <a:ext cx="1624013" cy="833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8" name="Straight Connector 2317">
            <a:extLst>
              <a:ext uri="{FF2B5EF4-FFF2-40B4-BE49-F238E27FC236}">
                <a16:creationId xmlns:a16="http://schemas.microsoft.com/office/drawing/2014/main" id="{8DA827E3-6800-4ACE-BDE7-E7ABF97DEFF3}"/>
              </a:ext>
            </a:extLst>
          </xdr:cNvPr>
          <xdr:cNvCxnSpPr/>
        </xdr:nvCxnSpPr>
        <xdr:spPr>
          <a:xfrm flipV="1">
            <a:off x="2757488" y="70923150"/>
            <a:ext cx="1619250" cy="14577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9" name="Straight Connector 2318">
            <a:extLst>
              <a:ext uri="{FF2B5EF4-FFF2-40B4-BE49-F238E27FC236}">
                <a16:creationId xmlns:a16="http://schemas.microsoft.com/office/drawing/2014/main" id="{0E2E36C8-F822-4F48-B868-05FC2F32FDA2}"/>
              </a:ext>
            </a:extLst>
          </xdr:cNvPr>
          <xdr:cNvCxnSpPr/>
        </xdr:nvCxnSpPr>
        <xdr:spPr>
          <a:xfrm flipH="1">
            <a:off x="2757299" y="70084950"/>
            <a:ext cx="1076514" cy="1990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0" name="Straight Connector 2319">
            <a:extLst>
              <a:ext uri="{FF2B5EF4-FFF2-40B4-BE49-F238E27FC236}">
                <a16:creationId xmlns:a16="http://schemas.microsoft.com/office/drawing/2014/main" id="{958C10A8-4F89-4E53-9673-6D89C54F1B7E}"/>
              </a:ext>
            </a:extLst>
          </xdr:cNvPr>
          <xdr:cNvCxnSpPr/>
        </xdr:nvCxnSpPr>
        <xdr:spPr>
          <a:xfrm flipV="1">
            <a:off x="2824163" y="70089713"/>
            <a:ext cx="252412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1" name="Straight Connector 2320">
            <a:extLst>
              <a:ext uri="{FF2B5EF4-FFF2-40B4-BE49-F238E27FC236}">
                <a16:creationId xmlns:a16="http://schemas.microsoft.com/office/drawing/2014/main" id="{C91AD84C-30E5-4CB2-832A-A2C03B70E322}"/>
              </a:ext>
            </a:extLst>
          </xdr:cNvPr>
          <xdr:cNvCxnSpPr/>
        </xdr:nvCxnSpPr>
        <xdr:spPr>
          <a:xfrm flipV="1">
            <a:off x="2752725" y="69946838"/>
            <a:ext cx="0" cy="364807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2" name="Straight Connector 2321">
            <a:extLst>
              <a:ext uri="{FF2B5EF4-FFF2-40B4-BE49-F238E27FC236}">
                <a16:creationId xmlns:a16="http://schemas.microsoft.com/office/drawing/2014/main" id="{19ACB7B0-5B4F-4236-9C93-811933083967}"/>
              </a:ext>
            </a:extLst>
          </xdr:cNvPr>
          <xdr:cNvCxnSpPr/>
        </xdr:nvCxnSpPr>
        <xdr:spPr>
          <a:xfrm>
            <a:off x="2424113" y="70099238"/>
            <a:ext cx="333375" cy="1766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3" name="Straight Connector 2322">
            <a:extLst>
              <a:ext uri="{FF2B5EF4-FFF2-40B4-BE49-F238E27FC236}">
                <a16:creationId xmlns:a16="http://schemas.microsoft.com/office/drawing/2014/main" id="{02CB4F0A-93F4-4D99-95A5-0DB2077A7D92}"/>
              </a:ext>
            </a:extLst>
          </xdr:cNvPr>
          <xdr:cNvCxnSpPr/>
        </xdr:nvCxnSpPr>
        <xdr:spPr>
          <a:xfrm>
            <a:off x="1143000" y="70223063"/>
            <a:ext cx="1614488" cy="20145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4" name="Straight Connector 2323">
            <a:extLst>
              <a:ext uri="{FF2B5EF4-FFF2-40B4-BE49-F238E27FC236}">
                <a16:creationId xmlns:a16="http://schemas.microsoft.com/office/drawing/2014/main" id="{E4B3F650-0C37-456B-A314-92C307F57829}"/>
              </a:ext>
            </a:extLst>
          </xdr:cNvPr>
          <xdr:cNvCxnSpPr/>
        </xdr:nvCxnSpPr>
        <xdr:spPr>
          <a:xfrm flipV="1">
            <a:off x="2762250" y="70232588"/>
            <a:ext cx="1619250" cy="2000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5" name="Straight Connector 2324">
            <a:extLst>
              <a:ext uri="{FF2B5EF4-FFF2-40B4-BE49-F238E27FC236}">
                <a16:creationId xmlns:a16="http://schemas.microsoft.com/office/drawing/2014/main" id="{EE3A3809-EB58-4F78-8896-4224E87C0B70}"/>
              </a:ext>
            </a:extLst>
          </xdr:cNvPr>
          <xdr:cNvCxnSpPr/>
        </xdr:nvCxnSpPr>
        <xdr:spPr>
          <a:xfrm flipH="1" flipV="1">
            <a:off x="2419350" y="70080188"/>
            <a:ext cx="266701" cy="14335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6" name="Straight Connector 2325">
            <a:extLst>
              <a:ext uri="{FF2B5EF4-FFF2-40B4-BE49-F238E27FC236}">
                <a16:creationId xmlns:a16="http://schemas.microsoft.com/office/drawing/2014/main" id="{42A47FA3-88A3-406D-A9FF-C54E5961DA5D}"/>
              </a:ext>
            </a:extLst>
          </xdr:cNvPr>
          <xdr:cNvCxnSpPr/>
        </xdr:nvCxnSpPr>
        <xdr:spPr>
          <a:xfrm flipH="1" flipV="1">
            <a:off x="1671639" y="70089714"/>
            <a:ext cx="928686" cy="170497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7" name="Straight Connector 2326">
            <a:extLst>
              <a:ext uri="{FF2B5EF4-FFF2-40B4-BE49-F238E27FC236}">
                <a16:creationId xmlns:a16="http://schemas.microsoft.com/office/drawing/2014/main" id="{B8632C76-0BA2-469A-8D25-88BF182F3744}"/>
              </a:ext>
            </a:extLst>
          </xdr:cNvPr>
          <xdr:cNvCxnSpPr/>
        </xdr:nvCxnSpPr>
        <xdr:spPr>
          <a:xfrm flipH="1">
            <a:off x="2909888" y="70089713"/>
            <a:ext cx="923925" cy="1704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8" name="Straight Connector 2327">
            <a:extLst>
              <a:ext uri="{FF2B5EF4-FFF2-40B4-BE49-F238E27FC236}">
                <a16:creationId xmlns:a16="http://schemas.microsoft.com/office/drawing/2014/main" id="{7A418A6F-5C2E-4301-97CA-DED3DA96381B}"/>
              </a:ext>
            </a:extLst>
          </xdr:cNvPr>
          <xdr:cNvCxnSpPr/>
        </xdr:nvCxnSpPr>
        <xdr:spPr>
          <a:xfrm flipH="1" flipV="1">
            <a:off x="1133476" y="70227825"/>
            <a:ext cx="1457324" cy="18049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9" name="Straight Connector 2328">
            <a:extLst>
              <a:ext uri="{FF2B5EF4-FFF2-40B4-BE49-F238E27FC236}">
                <a16:creationId xmlns:a16="http://schemas.microsoft.com/office/drawing/2014/main" id="{0B12D679-9A90-4AAE-97C1-3644D1290C97}"/>
              </a:ext>
            </a:extLst>
          </xdr:cNvPr>
          <xdr:cNvCxnSpPr/>
        </xdr:nvCxnSpPr>
        <xdr:spPr>
          <a:xfrm flipH="1">
            <a:off x="2919413" y="70232588"/>
            <a:ext cx="1457326" cy="18049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0" name="Straight Connector 2329">
            <a:extLst>
              <a:ext uri="{FF2B5EF4-FFF2-40B4-BE49-F238E27FC236}">
                <a16:creationId xmlns:a16="http://schemas.microsoft.com/office/drawing/2014/main" id="{C799C2B3-EA0B-4C5E-8A3B-55E852740540}"/>
              </a:ext>
            </a:extLst>
          </xdr:cNvPr>
          <xdr:cNvCxnSpPr/>
        </xdr:nvCxnSpPr>
        <xdr:spPr>
          <a:xfrm flipH="1" flipV="1">
            <a:off x="1133475" y="70913625"/>
            <a:ext cx="1457325" cy="13144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1" name="Straight Connector 2330">
            <a:extLst>
              <a:ext uri="{FF2B5EF4-FFF2-40B4-BE49-F238E27FC236}">
                <a16:creationId xmlns:a16="http://schemas.microsoft.com/office/drawing/2014/main" id="{452A3270-1708-49B9-B59E-DE76C18675A1}"/>
              </a:ext>
            </a:extLst>
          </xdr:cNvPr>
          <xdr:cNvCxnSpPr/>
        </xdr:nvCxnSpPr>
        <xdr:spPr>
          <a:xfrm flipH="1">
            <a:off x="2914650" y="70918388"/>
            <a:ext cx="1462088" cy="13239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2" name="Straight Connector 2331">
            <a:extLst>
              <a:ext uri="{FF2B5EF4-FFF2-40B4-BE49-F238E27FC236}">
                <a16:creationId xmlns:a16="http://schemas.microsoft.com/office/drawing/2014/main" id="{68F3A9F4-D39D-4E7F-BC14-C0D6AF8C58F0}"/>
              </a:ext>
            </a:extLst>
          </xdr:cNvPr>
          <xdr:cNvCxnSpPr/>
        </xdr:nvCxnSpPr>
        <xdr:spPr>
          <a:xfrm flipH="1" flipV="1">
            <a:off x="1138239" y="71694676"/>
            <a:ext cx="1452561" cy="74294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3" name="Straight Connector 2332">
            <a:extLst>
              <a:ext uri="{FF2B5EF4-FFF2-40B4-BE49-F238E27FC236}">
                <a16:creationId xmlns:a16="http://schemas.microsoft.com/office/drawing/2014/main" id="{62AB93A8-EEE1-4CAB-B4F1-8CEE221E20CF}"/>
              </a:ext>
            </a:extLst>
          </xdr:cNvPr>
          <xdr:cNvCxnSpPr/>
        </xdr:nvCxnSpPr>
        <xdr:spPr>
          <a:xfrm flipH="1">
            <a:off x="2914650" y="71685150"/>
            <a:ext cx="1462088" cy="7524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6" name="Straight Connector 2335">
            <a:extLst>
              <a:ext uri="{FF2B5EF4-FFF2-40B4-BE49-F238E27FC236}">
                <a16:creationId xmlns:a16="http://schemas.microsoft.com/office/drawing/2014/main" id="{047F2B42-001E-4027-A24F-D8F308164BAD}"/>
              </a:ext>
            </a:extLst>
          </xdr:cNvPr>
          <xdr:cNvCxnSpPr/>
        </xdr:nvCxnSpPr>
        <xdr:spPr>
          <a:xfrm>
            <a:off x="1066799" y="73513950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7" name="Straight Connector 2336">
            <a:extLst>
              <a:ext uri="{FF2B5EF4-FFF2-40B4-BE49-F238E27FC236}">
                <a16:creationId xmlns:a16="http://schemas.microsoft.com/office/drawing/2014/main" id="{48FFE9C9-DE4C-4D61-8411-F36346F1DD5A}"/>
              </a:ext>
            </a:extLst>
          </xdr:cNvPr>
          <xdr:cNvCxnSpPr/>
        </xdr:nvCxnSpPr>
        <xdr:spPr>
          <a:xfrm>
            <a:off x="1133475" y="72704325"/>
            <a:ext cx="0" cy="1162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8" name="Straight Connector 2337">
            <a:extLst>
              <a:ext uri="{FF2B5EF4-FFF2-40B4-BE49-F238E27FC236}">
                <a16:creationId xmlns:a16="http://schemas.microsoft.com/office/drawing/2014/main" id="{5F1FDDC9-6009-413C-A374-E57EEF57FEB3}"/>
              </a:ext>
            </a:extLst>
          </xdr:cNvPr>
          <xdr:cNvCxnSpPr/>
        </xdr:nvCxnSpPr>
        <xdr:spPr>
          <a:xfrm flipH="1">
            <a:off x="1090613" y="734758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9" name="Straight Connector 2338">
            <a:extLst>
              <a:ext uri="{FF2B5EF4-FFF2-40B4-BE49-F238E27FC236}">
                <a16:creationId xmlns:a16="http://schemas.microsoft.com/office/drawing/2014/main" id="{5B3100BB-5319-49C5-B839-716F4A3CB6AD}"/>
              </a:ext>
            </a:extLst>
          </xdr:cNvPr>
          <xdr:cNvCxnSpPr/>
        </xdr:nvCxnSpPr>
        <xdr:spPr>
          <a:xfrm>
            <a:off x="4371975" y="72704325"/>
            <a:ext cx="0" cy="1181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0" name="Straight Connector 2339">
            <a:extLst>
              <a:ext uri="{FF2B5EF4-FFF2-40B4-BE49-F238E27FC236}">
                <a16:creationId xmlns:a16="http://schemas.microsoft.com/office/drawing/2014/main" id="{029D7053-31F3-491E-88A8-D5604B06C624}"/>
              </a:ext>
            </a:extLst>
          </xdr:cNvPr>
          <xdr:cNvCxnSpPr/>
        </xdr:nvCxnSpPr>
        <xdr:spPr>
          <a:xfrm flipH="1">
            <a:off x="4329113" y="734758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1" name="Straight Connector 2340">
            <a:extLst>
              <a:ext uri="{FF2B5EF4-FFF2-40B4-BE49-F238E27FC236}">
                <a16:creationId xmlns:a16="http://schemas.microsoft.com/office/drawing/2014/main" id="{832349C9-B03D-40F4-867B-0E24DAEC7C2C}"/>
              </a:ext>
            </a:extLst>
          </xdr:cNvPr>
          <xdr:cNvCxnSpPr/>
        </xdr:nvCxnSpPr>
        <xdr:spPr>
          <a:xfrm flipH="1">
            <a:off x="2709862" y="7347585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2" name="Straight Connector 2341">
            <a:extLst>
              <a:ext uri="{FF2B5EF4-FFF2-40B4-BE49-F238E27FC236}">
                <a16:creationId xmlns:a16="http://schemas.microsoft.com/office/drawing/2014/main" id="{C6BFD425-94EB-41CA-845D-D930E8442E3F}"/>
              </a:ext>
            </a:extLst>
          </xdr:cNvPr>
          <xdr:cNvCxnSpPr/>
        </xdr:nvCxnSpPr>
        <xdr:spPr>
          <a:xfrm>
            <a:off x="1066800" y="72942450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3" name="Straight Connector 2342">
            <a:extLst>
              <a:ext uri="{FF2B5EF4-FFF2-40B4-BE49-F238E27FC236}">
                <a16:creationId xmlns:a16="http://schemas.microsoft.com/office/drawing/2014/main" id="{98B0CB3C-06D2-4C34-BDF3-B6F9EFC6876A}"/>
              </a:ext>
            </a:extLst>
          </xdr:cNvPr>
          <xdr:cNvCxnSpPr/>
        </xdr:nvCxnSpPr>
        <xdr:spPr>
          <a:xfrm>
            <a:off x="2590800" y="72713850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4" name="Straight Connector 2343">
            <a:extLst>
              <a:ext uri="{FF2B5EF4-FFF2-40B4-BE49-F238E27FC236}">
                <a16:creationId xmlns:a16="http://schemas.microsoft.com/office/drawing/2014/main" id="{7869CEB8-B2FD-4664-B910-A76428CE73F1}"/>
              </a:ext>
            </a:extLst>
          </xdr:cNvPr>
          <xdr:cNvCxnSpPr/>
        </xdr:nvCxnSpPr>
        <xdr:spPr>
          <a:xfrm flipH="1">
            <a:off x="2543175" y="72899587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5" name="Straight Connector 2344">
            <a:extLst>
              <a:ext uri="{FF2B5EF4-FFF2-40B4-BE49-F238E27FC236}">
                <a16:creationId xmlns:a16="http://schemas.microsoft.com/office/drawing/2014/main" id="{34A332A5-5F17-4164-8DF9-4BC3474DE5A7}"/>
              </a:ext>
            </a:extLst>
          </xdr:cNvPr>
          <xdr:cNvCxnSpPr/>
        </xdr:nvCxnSpPr>
        <xdr:spPr>
          <a:xfrm>
            <a:off x="2914650" y="72713849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6" name="Straight Connector 2345">
            <a:extLst>
              <a:ext uri="{FF2B5EF4-FFF2-40B4-BE49-F238E27FC236}">
                <a16:creationId xmlns:a16="http://schemas.microsoft.com/office/drawing/2014/main" id="{84B03919-406C-4E46-B7CE-B322AD139621}"/>
              </a:ext>
            </a:extLst>
          </xdr:cNvPr>
          <xdr:cNvCxnSpPr/>
        </xdr:nvCxnSpPr>
        <xdr:spPr>
          <a:xfrm flipH="1">
            <a:off x="2867025" y="7289958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7" name="Straight Connector 2346">
            <a:extLst>
              <a:ext uri="{FF2B5EF4-FFF2-40B4-BE49-F238E27FC236}">
                <a16:creationId xmlns:a16="http://schemas.microsoft.com/office/drawing/2014/main" id="{2B1031D3-E6B9-4C46-BF22-5C908B5752AE}"/>
              </a:ext>
            </a:extLst>
          </xdr:cNvPr>
          <xdr:cNvCxnSpPr/>
        </xdr:nvCxnSpPr>
        <xdr:spPr>
          <a:xfrm>
            <a:off x="1885950" y="72580499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8" name="Straight Connector 2347">
            <a:extLst>
              <a:ext uri="{FF2B5EF4-FFF2-40B4-BE49-F238E27FC236}">
                <a16:creationId xmlns:a16="http://schemas.microsoft.com/office/drawing/2014/main" id="{02DFA5A4-F7FD-422B-A8C5-74CEBC3F7511}"/>
              </a:ext>
            </a:extLst>
          </xdr:cNvPr>
          <xdr:cNvCxnSpPr/>
        </xdr:nvCxnSpPr>
        <xdr:spPr>
          <a:xfrm>
            <a:off x="1824037" y="72580499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9" name="Straight Connector 2348">
            <a:extLst>
              <a:ext uri="{FF2B5EF4-FFF2-40B4-BE49-F238E27FC236}">
                <a16:creationId xmlns:a16="http://schemas.microsoft.com/office/drawing/2014/main" id="{49737346-A5F8-44B7-9F84-D161B3411DC6}"/>
              </a:ext>
            </a:extLst>
          </xdr:cNvPr>
          <xdr:cNvCxnSpPr/>
        </xdr:nvCxnSpPr>
        <xdr:spPr>
          <a:xfrm flipH="1">
            <a:off x="1090613" y="72904342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0" name="Straight Connector 2349">
            <a:extLst>
              <a:ext uri="{FF2B5EF4-FFF2-40B4-BE49-F238E27FC236}">
                <a16:creationId xmlns:a16="http://schemas.microsoft.com/office/drawing/2014/main" id="{E500FD2A-B8B1-4405-A132-031A995619DF}"/>
              </a:ext>
            </a:extLst>
          </xdr:cNvPr>
          <xdr:cNvCxnSpPr/>
        </xdr:nvCxnSpPr>
        <xdr:spPr>
          <a:xfrm>
            <a:off x="1857375" y="7308532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1" name="Straight Connector 2350">
            <a:extLst>
              <a:ext uri="{FF2B5EF4-FFF2-40B4-BE49-F238E27FC236}">
                <a16:creationId xmlns:a16="http://schemas.microsoft.com/office/drawing/2014/main" id="{8AA8CA2D-DFB2-4242-8D7E-D06072FA37DA}"/>
              </a:ext>
            </a:extLst>
          </xdr:cNvPr>
          <xdr:cNvCxnSpPr/>
        </xdr:nvCxnSpPr>
        <xdr:spPr>
          <a:xfrm>
            <a:off x="3648075" y="7297578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2" name="Straight Connector 2351">
            <a:extLst>
              <a:ext uri="{FF2B5EF4-FFF2-40B4-BE49-F238E27FC236}">
                <a16:creationId xmlns:a16="http://schemas.microsoft.com/office/drawing/2014/main" id="{55FC7223-C4FA-470D-A76F-508225C1DC96}"/>
              </a:ext>
            </a:extLst>
          </xdr:cNvPr>
          <xdr:cNvCxnSpPr/>
        </xdr:nvCxnSpPr>
        <xdr:spPr>
          <a:xfrm flipH="1">
            <a:off x="3605212" y="7319010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3" name="Straight Connector 2352">
            <a:extLst>
              <a:ext uri="{FF2B5EF4-FFF2-40B4-BE49-F238E27FC236}">
                <a16:creationId xmlns:a16="http://schemas.microsoft.com/office/drawing/2014/main" id="{3E08EB8C-20A5-496E-A361-8BB448EB6831}"/>
              </a:ext>
            </a:extLst>
          </xdr:cNvPr>
          <xdr:cNvCxnSpPr/>
        </xdr:nvCxnSpPr>
        <xdr:spPr>
          <a:xfrm flipV="1">
            <a:off x="1133475" y="69446775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4" name="Straight Connector 2353">
            <a:extLst>
              <a:ext uri="{FF2B5EF4-FFF2-40B4-BE49-F238E27FC236}">
                <a16:creationId xmlns:a16="http://schemas.microsoft.com/office/drawing/2014/main" id="{5ACB82DA-E491-4A4F-929D-4B9074E52136}"/>
              </a:ext>
            </a:extLst>
          </xdr:cNvPr>
          <xdr:cNvCxnSpPr/>
        </xdr:nvCxnSpPr>
        <xdr:spPr>
          <a:xfrm>
            <a:off x="1062038" y="6979920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5" name="Straight Connector 2354">
            <a:extLst>
              <a:ext uri="{FF2B5EF4-FFF2-40B4-BE49-F238E27FC236}">
                <a16:creationId xmlns:a16="http://schemas.microsoft.com/office/drawing/2014/main" id="{8B6D5E3E-5F7E-47F4-BDE8-71819AB81301}"/>
              </a:ext>
            </a:extLst>
          </xdr:cNvPr>
          <xdr:cNvCxnSpPr/>
        </xdr:nvCxnSpPr>
        <xdr:spPr>
          <a:xfrm flipH="1">
            <a:off x="1090607" y="697658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6" name="Straight Connector 2355">
            <a:extLst>
              <a:ext uri="{FF2B5EF4-FFF2-40B4-BE49-F238E27FC236}">
                <a16:creationId xmlns:a16="http://schemas.microsoft.com/office/drawing/2014/main" id="{546889AA-194C-4E0E-96B5-4BF3709E926C}"/>
              </a:ext>
            </a:extLst>
          </xdr:cNvPr>
          <xdr:cNvCxnSpPr/>
        </xdr:nvCxnSpPr>
        <xdr:spPr>
          <a:xfrm>
            <a:off x="2752726" y="69432488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7" name="Straight Connector 2356">
            <a:extLst>
              <a:ext uri="{FF2B5EF4-FFF2-40B4-BE49-F238E27FC236}">
                <a16:creationId xmlns:a16="http://schemas.microsoft.com/office/drawing/2014/main" id="{910F1CD8-3136-4293-8006-7F3B5E112941}"/>
              </a:ext>
            </a:extLst>
          </xdr:cNvPr>
          <xdr:cNvCxnSpPr/>
        </xdr:nvCxnSpPr>
        <xdr:spPr>
          <a:xfrm flipV="1">
            <a:off x="4371975" y="69442012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8" name="Straight Connector 2357">
            <a:extLst>
              <a:ext uri="{FF2B5EF4-FFF2-40B4-BE49-F238E27FC236}">
                <a16:creationId xmlns:a16="http://schemas.microsoft.com/office/drawing/2014/main" id="{6E22AB08-FB81-493D-8D3F-ED6ED0D3C901}"/>
              </a:ext>
            </a:extLst>
          </xdr:cNvPr>
          <xdr:cNvCxnSpPr/>
        </xdr:nvCxnSpPr>
        <xdr:spPr>
          <a:xfrm flipH="1">
            <a:off x="4329113" y="697563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9" name="Straight Connector 2358">
            <a:extLst>
              <a:ext uri="{FF2B5EF4-FFF2-40B4-BE49-F238E27FC236}">
                <a16:creationId xmlns:a16="http://schemas.microsoft.com/office/drawing/2014/main" id="{2367169D-0728-4C3B-9885-95C42761CAB6}"/>
              </a:ext>
            </a:extLst>
          </xdr:cNvPr>
          <xdr:cNvCxnSpPr/>
        </xdr:nvCxnSpPr>
        <xdr:spPr>
          <a:xfrm>
            <a:off x="1057275" y="6951345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0" name="Straight Connector 2359">
            <a:extLst>
              <a:ext uri="{FF2B5EF4-FFF2-40B4-BE49-F238E27FC236}">
                <a16:creationId xmlns:a16="http://schemas.microsoft.com/office/drawing/2014/main" id="{271BFE98-E74D-4EBA-9A05-81CF3E3810BC}"/>
              </a:ext>
            </a:extLst>
          </xdr:cNvPr>
          <xdr:cNvCxnSpPr/>
        </xdr:nvCxnSpPr>
        <xdr:spPr>
          <a:xfrm flipH="1">
            <a:off x="1085850" y="694753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1" name="Straight Connector 2360">
            <a:extLst>
              <a:ext uri="{FF2B5EF4-FFF2-40B4-BE49-F238E27FC236}">
                <a16:creationId xmlns:a16="http://schemas.microsoft.com/office/drawing/2014/main" id="{28CA164C-92CC-4382-B49A-CE913B74157C}"/>
              </a:ext>
            </a:extLst>
          </xdr:cNvPr>
          <xdr:cNvCxnSpPr/>
        </xdr:nvCxnSpPr>
        <xdr:spPr>
          <a:xfrm flipH="1">
            <a:off x="4324350" y="694705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2" name="Straight Connector 2361">
            <a:extLst>
              <a:ext uri="{FF2B5EF4-FFF2-40B4-BE49-F238E27FC236}">
                <a16:creationId xmlns:a16="http://schemas.microsoft.com/office/drawing/2014/main" id="{5BB39CCA-37CA-4C3F-93E6-92995C3C1DC2}"/>
              </a:ext>
            </a:extLst>
          </xdr:cNvPr>
          <xdr:cNvCxnSpPr/>
        </xdr:nvCxnSpPr>
        <xdr:spPr>
          <a:xfrm flipH="1">
            <a:off x="2705101" y="694705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3" name="Straight Connector 2362">
            <a:extLst>
              <a:ext uri="{FF2B5EF4-FFF2-40B4-BE49-F238E27FC236}">
                <a16:creationId xmlns:a16="http://schemas.microsoft.com/office/drawing/2014/main" id="{E7174330-E624-42EE-8CD7-71635617C160}"/>
              </a:ext>
            </a:extLst>
          </xdr:cNvPr>
          <xdr:cNvCxnSpPr/>
        </xdr:nvCxnSpPr>
        <xdr:spPr>
          <a:xfrm flipH="1">
            <a:off x="2705101" y="697611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4" name="Straight Connector 2363">
            <a:extLst>
              <a:ext uri="{FF2B5EF4-FFF2-40B4-BE49-F238E27FC236}">
                <a16:creationId xmlns:a16="http://schemas.microsoft.com/office/drawing/2014/main" id="{E35A77F6-EBEE-44B8-B95D-BB5DB394FE0C}"/>
              </a:ext>
            </a:extLst>
          </xdr:cNvPr>
          <xdr:cNvCxnSpPr/>
        </xdr:nvCxnSpPr>
        <xdr:spPr>
          <a:xfrm flipH="1">
            <a:off x="409575" y="7008495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5" name="Straight Connector 2364">
            <a:extLst>
              <a:ext uri="{FF2B5EF4-FFF2-40B4-BE49-F238E27FC236}">
                <a16:creationId xmlns:a16="http://schemas.microsoft.com/office/drawing/2014/main" id="{BFF894FA-E061-4048-BB3C-F0DDC5D08320}"/>
              </a:ext>
            </a:extLst>
          </xdr:cNvPr>
          <xdr:cNvCxnSpPr/>
        </xdr:nvCxnSpPr>
        <xdr:spPr>
          <a:xfrm>
            <a:off x="809626" y="70018275"/>
            <a:ext cx="0" cy="2714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6" name="Straight Connector 2365">
            <a:extLst>
              <a:ext uri="{FF2B5EF4-FFF2-40B4-BE49-F238E27FC236}">
                <a16:creationId xmlns:a16="http://schemas.microsoft.com/office/drawing/2014/main" id="{2CDCAFFB-7BF2-4DE2-A804-7AEDFEF2FACF}"/>
              </a:ext>
            </a:extLst>
          </xdr:cNvPr>
          <xdr:cNvCxnSpPr/>
        </xdr:nvCxnSpPr>
        <xdr:spPr>
          <a:xfrm flipH="1">
            <a:off x="766763" y="7004685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7" name="Straight Connector 2366">
            <a:extLst>
              <a:ext uri="{FF2B5EF4-FFF2-40B4-BE49-F238E27FC236}">
                <a16:creationId xmlns:a16="http://schemas.microsoft.com/office/drawing/2014/main" id="{82E10ED9-48F3-4CA8-9546-613BCBE20A1F}"/>
              </a:ext>
            </a:extLst>
          </xdr:cNvPr>
          <xdr:cNvCxnSpPr/>
        </xdr:nvCxnSpPr>
        <xdr:spPr>
          <a:xfrm flipH="1">
            <a:off x="728663" y="70918380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8" name="Straight Connector 2367">
            <a:extLst>
              <a:ext uri="{FF2B5EF4-FFF2-40B4-BE49-F238E27FC236}">
                <a16:creationId xmlns:a16="http://schemas.microsoft.com/office/drawing/2014/main" id="{F2E19EC1-727F-46CD-9C0B-26DD4995D15B}"/>
              </a:ext>
            </a:extLst>
          </xdr:cNvPr>
          <xdr:cNvCxnSpPr/>
        </xdr:nvCxnSpPr>
        <xdr:spPr>
          <a:xfrm flipH="1">
            <a:off x="766763" y="7088028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1" name="Straight Connector 2370">
            <a:extLst>
              <a:ext uri="{FF2B5EF4-FFF2-40B4-BE49-F238E27FC236}">
                <a16:creationId xmlns:a16="http://schemas.microsoft.com/office/drawing/2014/main" id="{F0D6B8AA-3BA4-4ACC-9110-BCDDDDDD6E7B}"/>
              </a:ext>
            </a:extLst>
          </xdr:cNvPr>
          <xdr:cNvCxnSpPr/>
        </xdr:nvCxnSpPr>
        <xdr:spPr>
          <a:xfrm flipH="1">
            <a:off x="395288" y="72656690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2" name="Straight Connector 2371">
            <a:extLst>
              <a:ext uri="{FF2B5EF4-FFF2-40B4-BE49-F238E27FC236}">
                <a16:creationId xmlns:a16="http://schemas.microsoft.com/office/drawing/2014/main" id="{1E0D844F-0879-41B7-8AD2-8E5869A79D9B}"/>
              </a:ext>
            </a:extLst>
          </xdr:cNvPr>
          <xdr:cNvCxnSpPr/>
        </xdr:nvCxnSpPr>
        <xdr:spPr>
          <a:xfrm flipH="1">
            <a:off x="766764" y="7261859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3" name="Straight Connector 2372">
            <a:extLst>
              <a:ext uri="{FF2B5EF4-FFF2-40B4-BE49-F238E27FC236}">
                <a16:creationId xmlns:a16="http://schemas.microsoft.com/office/drawing/2014/main" id="{0CA79E6E-B360-4121-B046-FE272A0F7035}"/>
              </a:ext>
            </a:extLst>
          </xdr:cNvPr>
          <xdr:cNvCxnSpPr/>
        </xdr:nvCxnSpPr>
        <xdr:spPr>
          <a:xfrm>
            <a:off x="485776" y="70013513"/>
            <a:ext cx="0" cy="27098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4" name="Straight Connector 2373">
            <a:extLst>
              <a:ext uri="{FF2B5EF4-FFF2-40B4-BE49-F238E27FC236}">
                <a16:creationId xmlns:a16="http://schemas.microsoft.com/office/drawing/2014/main" id="{EF580511-76E4-4F66-92BF-E84EF0E55EC6}"/>
              </a:ext>
            </a:extLst>
          </xdr:cNvPr>
          <xdr:cNvCxnSpPr/>
        </xdr:nvCxnSpPr>
        <xdr:spPr>
          <a:xfrm flipH="1">
            <a:off x="442913" y="7004208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5" name="Straight Connector 2374">
            <a:extLst>
              <a:ext uri="{FF2B5EF4-FFF2-40B4-BE49-F238E27FC236}">
                <a16:creationId xmlns:a16="http://schemas.microsoft.com/office/drawing/2014/main" id="{AC783B3D-7B19-4A04-9E4C-D2B1D9AA1270}"/>
              </a:ext>
            </a:extLst>
          </xdr:cNvPr>
          <xdr:cNvCxnSpPr/>
        </xdr:nvCxnSpPr>
        <xdr:spPr>
          <a:xfrm flipH="1">
            <a:off x="442914" y="7261382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6" name="Straight Connector 2375">
            <a:extLst>
              <a:ext uri="{FF2B5EF4-FFF2-40B4-BE49-F238E27FC236}">
                <a16:creationId xmlns:a16="http://schemas.microsoft.com/office/drawing/2014/main" id="{9FDD08D3-2436-47CF-983C-5D872B0CF40D}"/>
              </a:ext>
            </a:extLst>
          </xdr:cNvPr>
          <xdr:cNvCxnSpPr/>
        </xdr:nvCxnSpPr>
        <xdr:spPr>
          <a:xfrm flipH="1">
            <a:off x="723900" y="7169467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7" name="Straight Connector 2376">
            <a:extLst>
              <a:ext uri="{FF2B5EF4-FFF2-40B4-BE49-F238E27FC236}">
                <a16:creationId xmlns:a16="http://schemas.microsoft.com/office/drawing/2014/main" id="{307CCEA5-E1EA-4B2A-B0E7-518A44D41FFD}"/>
              </a:ext>
            </a:extLst>
          </xdr:cNvPr>
          <xdr:cNvCxnSpPr/>
        </xdr:nvCxnSpPr>
        <xdr:spPr>
          <a:xfrm flipH="1">
            <a:off x="762000" y="716565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8" name="Straight Connector 2377">
            <a:extLst>
              <a:ext uri="{FF2B5EF4-FFF2-40B4-BE49-F238E27FC236}">
                <a16:creationId xmlns:a16="http://schemas.microsoft.com/office/drawing/2014/main" id="{0A482FCE-AF24-4774-BBC3-03BC7FE69C9A}"/>
              </a:ext>
            </a:extLst>
          </xdr:cNvPr>
          <xdr:cNvCxnSpPr/>
        </xdr:nvCxnSpPr>
        <xdr:spPr>
          <a:xfrm>
            <a:off x="4695825" y="70008750"/>
            <a:ext cx="0" cy="27098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9" name="Straight Connector 2378">
            <a:extLst>
              <a:ext uri="{FF2B5EF4-FFF2-40B4-BE49-F238E27FC236}">
                <a16:creationId xmlns:a16="http://schemas.microsoft.com/office/drawing/2014/main" id="{ACF01BAE-6380-4058-8617-506F24A2D08F}"/>
              </a:ext>
            </a:extLst>
          </xdr:cNvPr>
          <xdr:cNvCxnSpPr/>
        </xdr:nvCxnSpPr>
        <xdr:spPr>
          <a:xfrm>
            <a:off x="4414838" y="72656687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0" name="Straight Connector 2379">
            <a:extLst>
              <a:ext uri="{FF2B5EF4-FFF2-40B4-BE49-F238E27FC236}">
                <a16:creationId xmlns:a16="http://schemas.microsoft.com/office/drawing/2014/main" id="{4C7E64C1-DBA4-47B4-A53E-4DECF03C9BD6}"/>
              </a:ext>
            </a:extLst>
          </xdr:cNvPr>
          <xdr:cNvCxnSpPr/>
        </xdr:nvCxnSpPr>
        <xdr:spPr>
          <a:xfrm>
            <a:off x="4410075" y="70084950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1" name="Straight Connector 2380">
            <a:extLst>
              <a:ext uri="{FF2B5EF4-FFF2-40B4-BE49-F238E27FC236}">
                <a16:creationId xmlns:a16="http://schemas.microsoft.com/office/drawing/2014/main" id="{FB4CEC8B-D887-44D9-B81D-BF8289160727}"/>
              </a:ext>
            </a:extLst>
          </xdr:cNvPr>
          <xdr:cNvCxnSpPr/>
        </xdr:nvCxnSpPr>
        <xdr:spPr>
          <a:xfrm flipH="1">
            <a:off x="4648200" y="7004685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2" name="Straight Connector 2381">
            <a:extLst>
              <a:ext uri="{FF2B5EF4-FFF2-40B4-BE49-F238E27FC236}">
                <a16:creationId xmlns:a16="http://schemas.microsoft.com/office/drawing/2014/main" id="{3570A71B-CC75-46C4-A2DF-B68A34A4C715}"/>
              </a:ext>
            </a:extLst>
          </xdr:cNvPr>
          <xdr:cNvCxnSpPr/>
        </xdr:nvCxnSpPr>
        <xdr:spPr>
          <a:xfrm flipH="1">
            <a:off x="4648201" y="72613824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3" name="Straight Connector 2382">
            <a:extLst>
              <a:ext uri="{FF2B5EF4-FFF2-40B4-BE49-F238E27FC236}">
                <a16:creationId xmlns:a16="http://schemas.microsoft.com/office/drawing/2014/main" id="{8DD3682E-FDB7-420A-867C-4A93B855DD45}"/>
              </a:ext>
            </a:extLst>
          </xdr:cNvPr>
          <xdr:cNvCxnSpPr/>
        </xdr:nvCxnSpPr>
        <xdr:spPr>
          <a:xfrm>
            <a:off x="3619500" y="71656575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4" name="Straight Connector 2383">
            <a:extLst>
              <a:ext uri="{FF2B5EF4-FFF2-40B4-BE49-F238E27FC236}">
                <a16:creationId xmlns:a16="http://schemas.microsoft.com/office/drawing/2014/main" id="{7B76617B-C1F1-4A5C-9CDF-C9E4351C5A71}"/>
              </a:ext>
            </a:extLst>
          </xdr:cNvPr>
          <xdr:cNvCxnSpPr/>
        </xdr:nvCxnSpPr>
        <xdr:spPr>
          <a:xfrm flipH="1">
            <a:off x="4652964" y="716137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6" name="Straight Connector 2385">
            <a:extLst>
              <a:ext uri="{FF2B5EF4-FFF2-40B4-BE49-F238E27FC236}">
                <a16:creationId xmlns:a16="http://schemas.microsoft.com/office/drawing/2014/main" id="{863E57B8-88B3-4FAD-8560-373A4B8DE135}"/>
              </a:ext>
            </a:extLst>
          </xdr:cNvPr>
          <xdr:cNvCxnSpPr/>
        </xdr:nvCxnSpPr>
        <xdr:spPr>
          <a:xfrm flipH="1">
            <a:off x="3186112" y="7146607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7" name="Straight Connector 2386">
            <a:extLst>
              <a:ext uri="{FF2B5EF4-FFF2-40B4-BE49-F238E27FC236}">
                <a16:creationId xmlns:a16="http://schemas.microsoft.com/office/drawing/2014/main" id="{8D52BAFC-2E83-4408-AF90-62B9C0E77789}"/>
              </a:ext>
            </a:extLst>
          </xdr:cNvPr>
          <xdr:cNvCxnSpPr/>
        </xdr:nvCxnSpPr>
        <xdr:spPr>
          <a:xfrm flipH="1">
            <a:off x="2614613" y="71223188"/>
            <a:ext cx="2095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8" name="Straight Connector 2387">
            <a:extLst>
              <a:ext uri="{FF2B5EF4-FFF2-40B4-BE49-F238E27FC236}">
                <a16:creationId xmlns:a16="http://schemas.microsoft.com/office/drawing/2014/main" id="{5EC278DA-BB77-433A-8F47-78D6446C44E5}"/>
              </a:ext>
            </a:extLst>
          </xdr:cNvPr>
          <xdr:cNvCxnSpPr/>
        </xdr:nvCxnSpPr>
        <xdr:spPr>
          <a:xfrm>
            <a:off x="2686059" y="71127934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9" name="Straight Connector 2388">
            <a:extLst>
              <a:ext uri="{FF2B5EF4-FFF2-40B4-BE49-F238E27FC236}">
                <a16:creationId xmlns:a16="http://schemas.microsoft.com/office/drawing/2014/main" id="{F4306682-A07A-4EA6-887B-3DE6EBBBC7C3}"/>
              </a:ext>
            </a:extLst>
          </xdr:cNvPr>
          <xdr:cNvCxnSpPr/>
        </xdr:nvCxnSpPr>
        <xdr:spPr>
          <a:xfrm flipH="1">
            <a:off x="2633672" y="71180322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0" name="Straight Connector 2389">
            <a:extLst>
              <a:ext uri="{FF2B5EF4-FFF2-40B4-BE49-F238E27FC236}">
                <a16:creationId xmlns:a16="http://schemas.microsoft.com/office/drawing/2014/main" id="{5FA844B6-B889-40B8-9684-AE13CB1BE239}"/>
              </a:ext>
            </a:extLst>
          </xdr:cNvPr>
          <xdr:cNvCxnSpPr/>
        </xdr:nvCxnSpPr>
        <xdr:spPr>
          <a:xfrm flipH="1">
            <a:off x="2700338" y="71180325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1" name="Straight Connector 2390">
            <a:extLst>
              <a:ext uri="{FF2B5EF4-FFF2-40B4-BE49-F238E27FC236}">
                <a16:creationId xmlns:a16="http://schemas.microsoft.com/office/drawing/2014/main" id="{23C5130F-867E-4667-A33B-3EFEBD01E44A}"/>
              </a:ext>
            </a:extLst>
          </xdr:cNvPr>
          <xdr:cNvCxnSpPr/>
        </xdr:nvCxnSpPr>
        <xdr:spPr>
          <a:xfrm flipV="1">
            <a:off x="1857375" y="71651816"/>
            <a:ext cx="0" cy="10810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2" name="Straight Connector 2391">
            <a:extLst>
              <a:ext uri="{FF2B5EF4-FFF2-40B4-BE49-F238E27FC236}">
                <a16:creationId xmlns:a16="http://schemas.microsoft.com/office/drawing/2014/main" id="{B2B36E57-4C3D-4458-A096-02AEE867C8EB}"/>
              </a:ext>
            </a:extLst>
          </xdr:cNvPr>
          <xdr:cNvCxnSpPr/>
        </xdr:nvCxnSpPr>
        <xdr:spPr>
          <a:xfrm flipV="1">
            <a:off x="3648075" y="71656577"/>
            <a:ext cx="0" cy="1000123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93" name="Arc 2392">
            <a:extLst>
              <a:ext uri="{FF2B5EF4-FFF2-40B4-BE49-F238E27FC236}">
                <a16:creationId xmlns:a16="http://schemas.microsoft.com/office/drawing/2014/main" id="{CC98CCC5-42AD-4F66-81FE-5A540E3C53CA}"/>
              </a:ext>
            </a:extLst>
          </xdr:cNvPr>
          <xdr:cNvSpPr/>
        </xdr:nvSpPr>
        <xdr:spPr>
          <a:xfrm rot="16200000">
            <a:off x="1885950" y="70751700"/>
            <a:ext cx="173355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94" name="Straight Connector 2393">
            <a:extLst>
              <a:ext uri="{FF2B5EF4-FFF2-40B4-BE49-F238E27FC236}">
                <a16:creationId xmlns:a16="http://schemas.microsoft.com/office/drawing/2014/main" id="{B50C8CDB-C057-40B5-AF03-7F46A79AAEC6}"/>
              </a:ext>
            </a:extLst>
          </xdr:cNvPr>
          <xdr:cNvCxnSpPr/>
        </xdr:nvCxnSpPr>
        <xdr:spPr>
          <a:xfrm>
            <a:off x="1057275" y="73228200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5" name="Straight Connector 2394">
            <a:extLst>
              <a:ext uri="{FF2B5EF4-FFF2-40B4-BE49-F238E27FC236}">
                <a16:creationId xmlns:a16="http://schemas.microsoft.com/office/drawing/2014/main" id="{BAB75731-410D-4C2C-97AB-F3B40D52DD38}"/>
              </a:ext>
            </a:extLst>
          </xdr:cNvPr>
          <xdr:cNvCxnSpPr/>
        </xdr:nvCxnSpPr>
        <xdr:spPr>
          <a:xfrm flipH="1">
            <a:off x="1814513" y="7318533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6" name="Straight Connector 2395">
            <a:extLst>
              <a:ext uri="{FF2B5EF4-FFF2-40B4-BE49-F238E27FC236}">
                <a16:creationId xmlns:a16="http://schemas.microsoft.com/office/drawing/2014/main" id="{C0AC2F8C-D89A-456B-9C38-48F60532C3D9}"/>
              </a:ext>
            </a:extLst>
          </xdr:cNvPr>
          <xdr:cNvCxnSpPr/>
        </xdr:nvCxnSpPr>
        <xdr:spPr>
          <a:xfrm flipH="1">
            <a:off x="4329114" y="729043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7" name="Straight Connector 2396">
            <a:extLst>
              <a:ext uri="{FF2B5EF4-FFF2-40B4-BE49-F238E27FC236}">
                <a16:creationId xmlns:a16="http://schemas.microsoft.com/office/drawing/2014/main" id="{897149BA-6F87-4E9F-83CF-D3AC9630EE37}"/>
              </a:ext>
            </a:extLst>
          </xdr:cNvPr>
          <xdr:cNvCxnSpPr/>
        </xdr:nvCxnSpPr>
        <xdr:spPr>
          <a:xfrm>
            <a:off x="2419366" y="69727763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8" name="Straight Connector 2397">
            <a:extLst>
              <a:ext uri="{FF2B5EF4-FFF2-40B4-BE49-F238E27FC236}">
                <a16:creationId xmlns:a16="http://schemas.microsoft.com/office/drawing/2014/main" id="{4DF8CF77-DBA6-43BA-B3A7-9BD4D90C2A67}"/>
              </a:ext>
            </a:extLst>
          </xdr:cNvPr>
          <xdr:cNvCxnSpPr/>
        </xdr:nvCxnSpPr>
        <xdr:spPr>
          <a:xfrm flipH="1">
            <a:off x="2376505" y="697515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9" name="Straight Connector 2398">
            <a:extLst>
              <a:ext uri="{FF2B5EF4-FFF2-40B4-BE49-F238E27FC236}">
                <a16:creationId xmlns:a16="http://schemas.microsoft.com/office/drawing/2014/main" id="{55E14E4D-0CFE-4D78-BA91-2A38A0C9F36F}"/>
              </a:ext>
            </a:extLst>
          </xdr:cNvPr>
          <xdr:cNvCxnSpPr/>
        </xdr:nvCxnSpPr>
        <xdr:spPr>
          <a:xfrm>
            <a:off x="3076586" y="6973728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0" name="Straight Connector 2399">
            <a:extLst>
              <a:ext uri="{FF2B5EF4-FFF2-40B4-BE49-F238E27FC236}">
                <a16:creationId xmlns:a16="http://schemas.microsoft.com/office/drawing/2014/main" id="{B425B36C-AB62-42F7-AB0A-5EE4FCB60CC6}"/>
              </a:ext>
            </a:extLst>
          </xdr:cNvPr>
          <xdr:cNvCxnSpPr/>
        </xdr:nvCxnSpPr>
        <xdr:spPr>
          <a:xfrm flipH="1">
            <a:off x="3033724" y="6975633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1" name="Straight Connector 2400">
            <a:extLst>
              <a:ext uri="{FF2B5EF4-FFF2-40B4-BE49-F238E27FC236}">
                <a16:creationId xmlns:a16="http://schemas.microsoft.com/office/drawing/2014/main" id="{B447181E-2FCD-485A-B74B-526A2A47AB64}"/>
              </a:ext>
            </a:extLst>
          </xdr:cNvPr>
          <xdr:cNvCxnSpPr/>
        </xdr:nvCxnSpPr>
        <xdr:spPr>
          <a:xfrm>
            <a:off x="1066799" y="73799699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2" name="Straight Connector 2401">
            <a:extLst>
              <a:ext uri="{FF2B5EF4-FFF2-40B4-BE49-F238E27FC236}">
                <a16:creationId xmlns:a16="http://schemas.microsoft.com/office/drawing/2014/main" id="{1F714765-E676-4475-BAF4-7A06361E7CEE}"/>
              </a:ext>
            </a:extLst>
          </xdr:cNvPr>
          <xdr:cNvCxnSpPr/>
        </xdr:nvCxnSpPr>
        <xdr:spPr>
          <a:xfrm flipH="1">
            <a:off x="1090613" y="737615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3" name="Straight Connector 2402">
            <a:extLst>
              <a:ext uri="{FF2B5EF4-FFF2-40B4-BE49-F238E27FC236}">
                <a16:creationId xmlns:a16="http://schemas.microsoft.com/office/drawing/2014/main" id="{3B01C1DE-B9FA-498C-9223-7C77F4D1A366}"/>
              </a:ext>
            </a:extLst>
          </xdr:cNvPr>
          <xdr:cNvCxnSpPr/>
        </xdr:nvCxnSpPr>
        <xdr:spPr>
          <a:xfrm flipH="1">
            <a:off x="4329113" y="737615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4" name="Straight Connector 2403">
            <a:extLst>
              <a:ext uri="{FF2B5EF4-FFF2-40B4-BE49-F238E27FC236}">
                <a16:creationId xmlns:a16="http://schemas.microsoft.com/office/drawing/2014/main" id="{8D351317-DDE8-4D84-AFCA-E19CEDC9E2C4}"/>
              </a:ext>
            </a:extLst>
          </xdr:cNvPr>
          <xdr:cNvCxnSpPr/>
        </xdr:nvCxnSpPr>
        <xdr:spPr>
          <a:xfrm flipH="1">
            <a:off x="1090612" y="7319009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5" name="Straight Connector 2404">
            <a:extLst>
              <a:ext uri="{FF2B5EF4-FFF2-40B4-BE49-F238E27FC236}">
                <a16:creationId xmlns:a16="http://schemas.microsoft.com/office/drawing/2014/main" id="{D2BBAF0B-74E0-4E40-B4DF-7D1EFDC440AE}"/>
              </a:ext>
            </a:extLst>
          </xdr:cNvPr>
          <xdr:cNvCxnSpPr/>
        </xdr:nvCxnSpPr>
        <xdr:spPr>
          <a:xfrm flipH="1">
            <a:off x="4329112" y="7319009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6" name="Straight Connector 2405">
            <a:extLst>
              <a:ext uri="{FF2B5EF4-FFF2-40B4-BE49-F238E27FC236}">
                <a16:creationId xmlns:a16="http://schemas.microsoft.com/office/drawing/2014/main" id="{A38D8BD1-9D90-4598-B909-D10A0ACB6583}"/>
              </a:ext>
            </a:extLst>
          </xdr:cNvPr>
          <xdr:cNvCxnSpPr/>
        </xdr:nvCxnSpPr>
        <xdr:spPr>
          <a:xfrm flipH="1">
            <a:off x="2709862" y="7319010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7" name="Straight Connector 2406">
            <a:extLst>
              <a:ext uri="{FF2B5EF4-FFF2-40B4-BE49-F238E27FC236}">
                <a16:creationId xmlns:a16="http://schemas.microsoft.com/office/drawing/2014/main" id="{714CC0D4-EE96-412B-B41A-E02ED31CAB5B}"/>
              </a:ext>
            </a:extLst>
          </xdr:cNvPr>
          <xdr:cNvCxnSpPr/>
        </xdr:nvCxnSpPr>
        <xdr:spPr>
          <a:xfrm>
            <a:off x="2762250" y="7185660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8" name="Straight Connector 2407">
            <a:extLst>
              <a:ext uri="{FF2B5EF4-FFF2-40B4-BE49-F238E27FC236}">
                <a16:creationId xmlns:a16="http://schemas.microsoft.com/office/drawing/2014/main" id="{32CF1F92-EA7D-4AAB-9EE8-4AEDFF43FA34}"/>
              </a:ext>
            </a:extLst>
          </xdr:cNvPr>
          <xdr:cNvCxnSpPr/>
        </xdr:nvCxnSpPr>
        <xdr:spPr>
          <a:xfrm>
            <a:off x="2938462" y="71513700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09" name="Oval 2408">
            <a:extLst>
              <a:ext uri="{FF2B5EF4-FFF2-40B4-BE49-F238E27FC236}">
                <a16:creationId xmlns:a16="http://schemas.microsoft.com/office/drawing/2014/main" id="{7D020D7E-6C05-47C2-93C9-A37EB33DBD79}"/>
              </a:ext>
            </a:extLst>
          </xdr:cNvPr>
          <xdr:cNvSpPr/>
        </xdr:nvSpPr>
        <xdr:spPr>
          <a:xfrm>
            <a:off x="2729866" y="7162895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10" name="Straight Connector 2409">
            <a:extLst>
              <a:ext uri="{FF2B5EF4-FFF2-40B4-BE49-F238E27FC236}">
                <a16:creationId xmlns:a16="http://schemas.microsoft.com/office/drawing/2014/main" id="{9F9C673D-73C6-47B2-AAE0-FA2472A3A811}"/>
              </a:ext>
            </a:extLst>
          </xdr:cNvPr>
          <xdr:cNvCxnSpPr/>
        </xdr:nvCxnSpPr>
        <xdr:spPr>
          <a:xfrm>
            <a:off x="2195513" y="71656575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1" name="Straight Connector 2410">
            <a:extLst>
              <a:ext uri="{FF2B5EF4-FFF2-40B4-BE49-F238E27FC236}">
                <a16:creationId xmlns:a16="http://schemas.microsoft.com/office/drawing/2014/main" id="{A059C915-FF7D-4D76-BC13-B037B3306314}"/>
              </a:ext>
            </a:extLst>
          </xdr:cNvPr>
          <xdr:cNvCxnSpPr/>
        </xdr:nvCxnSpPr>
        <xdr:spPr>
          <a:xfrm flipV="1">
            <a:off x="2266950" y="71456550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2" name="Straight Connector 2411">
            <a:extLst>
              <a:ext uri="{FF2B5EF4-FFF2-40B4-BE49-F238E27FC236}">
                <a16:creationId xmlns:a16="http://schemas.microsoft.com/office/drawing/2014/main" id="{A6D583AE-5834-4C13-B042-286B882512E2}"/>
              </a:ext>
            </a:extLst>
          </xdr:cNvPr>
          <xdr:cNvCxnSpPr/>
        </xdr:nvCxnSpPr>
        <xdr:spPr>
          <a:xfrm flipH="1">
            <a:off x="2190750" y="71513700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3" name="Straight Connector 2412">
            <a:extLst>
              <a:ext uri="{FF2B5EF4-FFF2-40B4-BE49-F238E27FC236}">
                <a16:creationId xmlns:a16="http://schemas.microsoft.com/office/drawing/2014/main" id="{0EBA45BB-81EE-4455-BF06-5498C828AC59}"/>
              </a:ext>
            </a:extLst>
          </xdr:cNvPr>
          <xdr:cNvCxnSpPr/>
        </xdr:nvCxnSpPr>
        <xdr:spPr>
          <a:xfrm flipH="1">
            <a:off x="2224088" y="71480363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4" name="Straight Connector 2413">
            <a:extLst>
              <a:ext uri="{FF2B5EF4-FFF2-40B4-BE49-F238E27FC236}">
                <a16:creationId xmlns:a16="http://schemas.microsoft.com/office/drawing/2014/main" id="{7ECD41C4-3CF5-4686-85E5-BECEFF503538}"/>
              </a:ext>
            </a:extLst>
          </xdr:cNvPr>
          <xdr:cNvCxnSpPr/>
        </xdr:nvCxnSpPr>
        <xdr:spPr>
          <a:xfrm flipH="1">
            <a:off x="2228850" y="71618475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5" name="Straight Connector 2414">
            <a:extLst>
              <a:ext uri="{FF2B5EF4-FFF2-40B4-BE49-F238E27FC236}">
                <a16:creationId xmlns:a16="http://schemas.microsoft.com/office/drawing/2014/main" id="{AC100134-C946-4AC2-964F-5BEA379B482D}"/>
              </a:ext>
            </a:extLst>
          </xdr:cNvPr>
          <xdr:cNvCxnSpPr/>
        </xdr:nvCxnSpPr>
        <xdr:spPr>
          <a:xfrm flipH="1">
            <a:off x="3190874" y="718137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6" name="Straight Connector 2415">
            <a:extLst>
              <a:ext uri="{FF2B5EF4-FFF2-40B4-BE49-F238E27FC236}">
                <a16:creationId xmlns:a16="http://schemas.microsoft.com/office/drawing/2014/main" id="{9F2A5A35-8323-41AE-BB55-1F3F46A0F9F1}"/>
              </a:ext>
            </a:extLst>
          </xdr:cNvPr>
          <xdr:cNvCxnSpPr/>
        </xdr:nvCxnSpPr>
        <xdr:spPr>
          <a:xfrm>
            <a:off x="2767012" y="720756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7" name="Straight Connector 2416">
            <a:extLst>
              <a:ext uri="{FF2B5EF4-FFF2-40B4-BE49-F238E27FC236}">
                <a16:creationId xmlns:a16="http://schemas.microsoft.com/office/drawing/2014/main" id="{F30A3983-D8CE-4D6E-B9A4-2F1AB77751E8}"/>
              </a:ext>
            </a:extLst>
          </xdr:cNvPr>
          <xdr:cNvCxnSpPr/>
        </xdr:nvCxnSpPr>
        <xdr:spPr>
          <a:xfrm flipH="1">
            <a:off x="3195636" y="720328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8" name="Straight Connector 2417">
            <a:extLst>
              <a:ext uri="{FF2B5EF4-FFF2-40B4-BE49-F238E27FC236}">
                <a16:creationId xmlns:a16="http://schemas.microsoft.com/office/drawing/2014/main" id="{B754F74E-8A07-4366-ABB2-01F931515833}"/>
              </a:ext>
            </a:extLst>
          </xdr:cNvPr>
          <xdr:cNvCxnSpPr/>
        </xdr:nvCxnSpPr>
        <xdr:spPr>
          <a:xfrm>
            <a:off x="2762249" y="7238523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9" name="Straight Connector 2418">
            <a:extLst>
              <a:ext uri="{FF2B5EF4-FFF2-40B4-BE49-F238E27FC236}">
                <a16:creationId xmlns:a16="http://schemas.microsoft.com/office/drawing/2014/main" id="{1CB3DF0E-07E9-4487-ACFC-CA7647E5B1D0}"/>
              </a:ext>
            </a:extLst>
          </xdr:cNvPr>
          <xdr:cNvCxnSpPr/>
        </xdr:nvCxnSpPr>
        <xdr:spPr>
          <a:xfrm flipH="1">
            <a:off x="3190873" y="723423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2" name="Straight Connector 2421">
            <a:extLst>
              <a:ext uri="{FF2B5EF4-FFF2-40B4-BE49-F238E27FC236}">
                <a16:creationId xmlns:a16="http://schemas.microsoft.com/office/drawing/2014/main" id="{2261AB71-37AA-4526-B030-9A35BD7CCB05}"/>
              </a:ext>
            </a:extLst>
          </xdr:cNvPr>
          <xdr:cNvCxnSpPr/>
        </xdr:nvCxnSpPr>
        <xdr:spPr>
          <a:xfrm>
            <a:off x="2762248" y="725185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3" name="Straight Connector 2422">
            <a:extLst>
              <a:ext uri="{FF2B5EF4-FFF2-40B4-BE49-F238E27FC236}">
                <a16:creationId xmlns:a16="http://schemas.microsoft.com/office/drawing/2014/main" id="{26D692F3-F22C-4A74-A250-E8B408C1E1FE}"/>
              </a:ext>
            </a:extLst>
          </xdr:cNvPr>
          <xdr:cNvCxnSpPr/>
        </xdr:nvCxnSpPr>
        <xdr:spPr>
          <a:xfrm flipH="1">
            <a:off x="3190872" y="7247572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4" name="Straight Connector 2423">
            <a:extLst>
              <a:ext uri="{FF2B5EF4-FFF2-40B4-BE49-F238E27FC236}">
                <a16:creationId xmlns:a16="http://schemas.microsoft.com/office/drawing/2014/main" id="{AB5A74C6-5A76-4961-822D-8E5E419DF062}"/>
              </a:ext>
            </a:extLst>
          </xdr:cNvPr>
          <xdr:cNvCxnSpPr/>
        </xdr:nvCxnSpPr>
        <xdr:spPr>
          <a:xfrm>
            <a:off x="2762248" y="7222807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5" name="Straight Connector 2424">
            <a:extLst>
              <a:ext uri="{FF2B5EF4-FFF2-40B4-BE49-F238E27FC236}">
                <a16:creationId xmlns:a16="http://schemas.microsoft.com/office/drawing/2014/main" id="{71D16C9F-B44B-482B-806F-7D2943F4AE9A}"/>
              </a:ext>
            </a:extLst>
          </xdr:cNvPr>
          <xdr:cNvCxnSpPr/>
        </xdr:nvCxnSpPr>
        <xdr:spPr>
          <a:xfrm flipH="1">
            <a:off x="3190872" y="721852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26" name="Oval 2425">
            <a:extLst>
              <a:ext uri="{FF2B5EF4-FFF2-40B4-BE49-F238E27FC236}">
                <a16:creationId xmlns:a16="http://schemas.microsoft.com/office/drawing/2014/main" id="{9E057304-428B-4776-88F5-640E23D21B30}"/>
              </a:ext>
            </a:extLst>
          </xdr:cNvPr>
          <xdr:cNvSpPr/>
        </xdr:nvSpPr>
        <xdr:spPr>
          <a:xfrm>
            <a:off x="1833563" y="71628000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27" name="Oval 2426">
            <a:extLst>
              <a:ext uri="{FF2B5EF4-FFF2-40B4-BE49-F238E27FC236}">
                <a16:creationId xmlns:a16="http://schemas.microsoft.com/office/drawing/2014/main" id="{B8463CEB-FF4F-49B8-8132-EE956D2C40A9}"/>
              </a:ext>
            </a:extLst>
          </xdr:cNvPr>
          <xdr:cNvSpPr/>
        </xdr:nvSpPr>
        <xdr:spPr>
          <a:xfrm>
            <a:off x="3624263" y="7163276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28" name="Straight Connector 2427">
            <a:extLst>
              <a:ext uri="{FF2B5EF4-FFF2-40B4-BE49-F238E27FC236}">
                <a16:creationId xmlns:a16="http://schemas.microsoft.com/office/drawing/2014/main" id="{A0A52278-EFBF-4F19-8E26-6B3134D614A3}"/>
              </a:ext>
            </a:extLst>
          </xdr:cNvPr>
          <xdr:cNvCxnSpPr/>
        </xdr:nvCxnSpPr>
        <xdr:spPr>
          <a:xfrm>
            <a:off x="4781550" y="7151370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9" name="Straight Connector 2428">
            <a:extLst>
              <a:ext uri="{FF2B5EF4-FFF2-40B4-BE49-F238E27FC236}">
                <a16:creationId xmlns:a16="http://schemas.microsoft.com/office/drawing/2014/main" id="{6A2E128F-C281-494F-A3A8-CDA933A9DBDF}"/>
              </a:ext>
            </a:extLst>
          </xdr:cNvPr>
          <xdr:cNvCxnSpPr/>
        </xdr:nvCxnSpPr>
        <xdr:spPr>
          <a:xfrm>
            <a:off x="5019675" y="70008750"/>
            <a:ext cx="0" cy="27193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0" name="Straight Connector 2429">
            <a:extLst>
              <a:ext uri="{FF2B5EF4-FFF2-40B4-BE49-F238E27FC236}">
                <a16:creationId xmlns:a16="http://schemas.microsoft.com/office/drawing/2014/main" id="{9D567FF3-A3C3-416D-B829-BC9F6E69D83C}"/>
              </a:ext>
            </a:extLst>
          </xdr:cNvPr>
          <xdr:cNvCxnSpPr/>
        </xdr:nvCxnSpPr>
        <xdr:spPr>
          <a:xfrm flipH="1">
            <a:off x="4981576" y="726090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1" name="Straight Connector 2430">
            <a:extLst>
              <a:ext uri="{FF2B5EF4-FFF2-40B4-BE49-F238E27FC236}">
                <a16:creationId xmlns:a16="http://schemas.microsoft.com/office/drawing/2014/main" id="{82FBE199-FA6E-4650-BE40-5C862FB7567A}"/>
              </a:ext>
            </a:extLst>
          </xdr:cNvPr>
          <xdr:cNvCxnSpPr/>
        </xdr:nvCxnSpPr>
        <xdr:spPr>
          <a:xfrm flipH="1">
            <a:off x="4976814" y="714708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2" name="Straight Connector 2431">
            <a:extLst>
              <a:ext uri="{FF2B5EF4-FFF2-40B4-BE49-F238E27FC236}">
                <a16:creationId xmlns:a16="http://schemas.microsoft.com/office/drawing/2014/main" id="{917858A6-BD1A-4327-A476-81570A35E3DC}"/>
              </a:ext>
            </a:extLst>
          </xdr:cNvPr>
          <xdr:cNvCxnSpPr/>
        </xdr:nvCxnSpPr>
        <xdr:spPr>
          <a:xfrm>
            <a:off x="3509962" y="71513700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3" name="Straight Connector 2432">
            <a:extLst>
              <a:ext uri="{FF2B5EF4-FFF2-40B4-BE49-F238E27FC236}">
                <a16:creationId xmlns:a16="http://schemas.microsoft.com/office/drawing/2014/main" id="{DDE5C004-D81B-4640-AA66-3967C73ECF2D}"/>
              </a:ext>
            </a:extLst>
          </xdr:cNvPr>
          <xdr:cNvCxnSpPr/>
        </xdr:nvCxnSpPr>
        <xdr:spPr>
          <a:xfrm>
            <a:off x="4419600" y="71513700"/>
            <a:ext cx="219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4" name="Straight Connector 2433">
            <a:extLst>
              <a:ext uri="{FF2B5EF4-FFF2-40B4-BE49-F238E27FC236}">
                <a16:creationId xmlns:a16="http://schemas.microsoft.com/office/drawing/2014/main" id="{EBCB7033-16FB-4E9E-83D6-A6B535A41193}"/>
              </a:ext>
            </a:extLst>
          </xdr:cNvPr>
          <xdr:cNvCxnSpPr/>
        </xdr:nvCxnSpPr>
        <xdr:spPr>
          <a:xfrm>
            <a:off x="1671653" y="69742051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5" name="Straight Connector 2434">
            <a:extLst>
              <a:ext uri="{FF2B5EF4-FFF2-40B4-BE49-F238E27FC236}">
                <a16:creationId xmlns:a16="http://schemas.microsoft.com/office/drawing/2014/main" id="{104A726D-BD2E-4EC6-AE3E-7313843A5D62}"/>
              </a:ext>
            </a:extLst>
          </xdr:cNvPr>
          <xdr:cNvCxnSpPr/>
        </xdr:nvCxnSpPr>
        <xdr:spPr>
          <a:xfrm flipH="1">
            <a:off x="1628792" y="6976586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6" name="Straight Connector 2435">
            <a:extLst>
              <a:ext uri="{FF2B5EF4-FFF2-40B4-BE49-F238E27FC236}">
                <a16:creationId xmlns:a16="http://schemas.microsoft.com/office/drawing/2014/main" id="{45887239-C019-48DA-BBE2-5EB33FEF26F6}"/>
              </a:ext>
            </a:extLst>
          </xdr:cNvPr>
          <xdr:cNvCxnSpPr/>
        </xdr:nvCxnSpPr>
        <xdr:spPr>
          <a:xfrm>
            <a:off x="3833819" y="6973252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7" name="Straight Connector 2436">
            <a:extLst>
              <a:ext uri="{FF2B5EF4-FFF2-40B4-BE49-F238E27FC236}">
                <a16:creationId xmlns:a16="http://schemas.microsoft.com/office/drawing/2014/main" id="{5AF74B49-35F9-446B-A628-BD6CBFD747E2}"/>
              </a:ext>
            </a:extLst>
          </xdr:cNvPr>
          <xdr:cNvCxnSpPr/>
        </xdr:nvCxnSpPr>
        <xdr:spPr>
          <a:xfrm flipH="1">
            <a:off x="3790957" y="697563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8" name="Straight Connector 2437">
            <a:extLst>
              <a:ext uri="{FF2B5EF4-FFF2-40B4-BE49-F238E27FC236}">
                <a16:creationId xmlns:a16="http://schemas.microsoft.com/office/drawing/2014/main" id="{68A6BDF6-4260-4A2F-AAFF-861B3BFBE476}"/>
              </a:ext>
            </a:extLst>
          </xdr:cNvPr>
          <xdr:cNvCxnSpPr/>
        </xdr:nvCxnSpPr>
        <xdr:spPr>
          <a:xfrm flipH="1">
            <a:off x="4976813" y="7003732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9" name="Straight Connector 2438">
            <a:extLst>
              <a:ext uri="{FF2B5EF4-FFF2-40B4-BE49-F238E27FC236}">
                <a16:creationId xmlns:a16="http://schemas.microsoft.com/office/drawing/2014/main" id="{1E832C06-3587-4628-A4AD-645EFF876377}"/>
              </a:ext>
            </a:extLst>
          </xdr:cNvPr>
          <xdr:cNvCxnSpPr/>
        </xdr:nvCxnSpPr>
        <xdr:spPr>
          <a:xfrm flipH="1">
            <a:off x="733425" y="7022781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0" name="Straight Connector 2439">
            <a:extLst>
              <a:ext uri="{FF2B5EF4-FFF2-40B4-BE49-F238E27FC236}">
                <a16:creationId xmlns:a16="http://schemas.microsoft.com/office/drawing/2014/main" id="{581FD181-58B1-40FB-9E95-8332064C771D}"/>
              </a:ext>
            </a:extLst>
          </xdr:cNvPr>
          <xdr:cNvCxnSpPr/>
        </xdr:nvCxnSpPr>
        <xdr:spPr>
          <a:xfrm flipH="1">
            <a:off x="771525" y="7018971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1" name="Straight Connector 2440">
            <a:extLst>
              <a:ext uri="{FF2B5EF4-FFF2-40B4-BE49-F238E27FC236}">
                <a16:creationId xmlns:a16="http://schemas.microsoft.com/office/drawing/2014/main" id="{DEA64B85-BD65-45A3-B6C5-9C9E0ACD7749}"/>
              </a:ext>
            </a:extLst>
          </xdr:cNvPr>
          <xdr:cNvCxnSpPr/>
        </xdr:nvCxnSpPr>
        <xdr:spPr>
          <a:xfrm flipH="1">
            <a:off x="3186112" y="7261383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35</xdr:col>
      <xdr:colOff>95250</xdr:colOff>
      <xdr:row>646</xdr:row>
      <xdr:rowOff>52090</xdr:rowOff>
    </xdr:from>
    <xdr:to>
      <xdr:col>50</xdr:col>
      <xdr:colOff>66675</xdr:colOff>
      <xdr:row>665</xdr:row>
      <xdr:rowOff>100311</xdr:rowOff>
    </xdr:to>
    <xdr:pic>
      <xdr:nvPicPr>
        <xdr:cNvPr id="2442" name="Picture 2441">
          <a:extLst>
            <a:ext uri="{FF2B5EF4-FFF2-40B4-BE49-F238E27FC236}">
              <a16:creationId xmlns:a16="http://schemas.microsoft.com/office/drawing/2014/main" id="{9A5899A7-B07D-48D3-B4B8-D44022F036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42" t="26510" r="61462" b="40943"/>
        <a:stretch/>
      </xdr:blipFill>
      <xdr:spPr bwMode="auto">
        <a:xfrm>
          <a:off x="5762625" y="69994165"/>
          <a:ext cx="2400300" cy="2762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55</xdr:col>
      <xdr:colOff>76200</xdr:colOff>
      <xdr:row>109</xdr:row>
      <xdr:rowOff>123825</xdr:rowOff>
    </xdr:from>
    <xdr:to>
      <xdr:col>57</xdr:col>
      <xdr:colOff>142875</xdr:colOff>
      <xdr:row>111</xdr:row>
      <xdr:rowOff>66675</xdr:rowOff>
    </xdr:to>
    <xdr:cxnSp macro="">
      <xdr:nvCxnSpPr>
        <xdr:cNvPr id="2158" name="Straight Arrow Connector 2157">
          <a:extLst>
            <a:ext uri="{FF2B5EF4-FFF2-40B4-BE49-F238E27FC236}">
              <a16:creationId xmlns:a16="http://schemas.microsoft.com/office/drawing/2014/main" id="{36B80BC9-3C36-4F2E-894F-0F65529C73A8}"/>
            </a:ext>
          </a:extLst>
        </xdr:cNvPr>
        <xdr:cNvCxnSpPr/>
      </xdr:nvCxnSpPr>
      <xdr:spPr>
        <a:xfrm flipH="1" flipV="1">
          <a:off x="8982075" y="1752600"/>
          <a:ext cx="390525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85725</xdr:colOff>
      <xdr:row>142</xdr:row>
      <xdr:rowOff>66675</xdr:rowOff>
    </xdr:from>
    <xdr:to>
      <xdr:col>45</xdr:col>
      <xdr:colOff>8164</xdr:colOff>
      <xdr:row>148</xdr:row>
      <xdr:rowOff>1360</xdr:rowOff>
    </xdr:to>
    <xdr:grpSp>
      <xdr:nvGrpSpPr>
        <xdr:cNvPr id="2163" name="Group 2162">
          <a:extLst>
            <a:ext uri="{FF2B5EF4-FFF2-40B4-BE49-F238E27FC236}">
              <a16:creationId xmlns:a16="http://schemas.microsoft.com/office/drawing/2014/main" id="{959B59BB-C6C3-468E-895D-89104316CF77}"/>
            </a:ext>
          </a:extLst>
        </xdr:cNvPr>
        <xdr:cNvGrpSpPr/>
      </xdr:nvGrpSpPr>
      <xdr:grpSpPr>
        <a:xfrm>
          <a:off x="5591175" y="21831300"/>
          <a:ext cx="1703614" cy="791935"/>
          <a:chOff x="6076950" y="10163175"/>
          <a:chExt cx="1703614" cy="791935"/>
        </a:xfrm>
      </xdr:grpSpPr>
      <xdr:sp macro="" textlink="">
        <xdr:nvSpPr>
          <xdr:cNvPr id="2182" name="Freeform: Shape 2181">
            <a:extLst>
              <a:ext uri="{FF2B5EF4-FFF2-40B4-BE49-F238E27FC236}">
                <a16:creationId xmlns:a16="http://schemas.microsoft.com/office/drawing/2014/main" id="{01C5F8E0-0EB6-40A3-991E-33C968FE7B1D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83" name="Freeform: Shape 2182">
            <a:extLst>
              <a:ext uri="{FF2B5EF4-FFF2-40B4-BE49-F238E27FC236}">
                <a16:creationId xmlns:a16="http://schemas.microsoft.com/office/drawing/2014/main" id="{C72F8D8D-B241-4797-A2B6-1F3E400D4736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23" name="Freeform: Shape 2222">
            <a:extLst>
              <a:ext uri="{FF2B5EF4-FFF2-40B4-BE49-F238E27FC236}">
                <a16:creationId xmlns:a16="http://schemas.microsoft.com/office/drawing/2014/main" id="{A88F124B-5B7A-4796-9AC9-76915CF8B7F6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224" name="Straight Connector 2223">
            <a:extLst>
              <a:ext uri="{FF2B5EF4-FFF2-40B4-BE49-F238E27FC236}">
                <a16:creationId xmlns:a16="http://schemas.microsoft.com/office/drawing/2014/main" id="{1DE3F0FA-2C92-4057-8EA7-E11EF96E85BE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0" name="Straight Connector 2239">
            <a:extLst>
              <a:ext uri="{FF2B5EF4-FFF2-40B4-BE49-F238E27FC236}">
                <a16:creationId xmlns:a16="http://schemas.microsoft.com/office/drawing/2014/main" id="{D37FE765-959C-4E57-8FB8-B49EBE58E52B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5" name="Straight Connector 2274">
            <a:extLst>
              <a:ext uri="{FF2B5EF4-FFF2-40B4-BE49-F238E27FC236}">
                <a16:creationId xmlns:a16="http://schemas.microsoft.com/office/drawing/2014/main" id="{A8648281-FC41-4912-9623-E7D4968AD644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6" name="Straight Connector 2275">
            <a:extLst>
              <a:ext uri="{FF2B5EF4-FFF2-40B4-BE49-F238E27FC236}">
                <a16:creationId xmlns:a16="http://schemas.microsoft.com/office/drawing/2014/main" id="{E4836FA1-AD0D-44AD-A28B-C57110268A1F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1" name="Straight Connector 2290">
            <a:extLst>
              <a:ext uri="{FF2B5EF4-FFF2-40B4-BE49-F238E27FC236}">
                <a16:creationId xmlns:a16="http://schemas.microsoft.com/office/drawing/2014/main" id="{07E0689A-0569-4BD7-9C50-D43614C1BEC7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9" name="Straight Connector 2308">
            <a:extLst>
              <a:ext uri="{FF2B5EF4-FFF2-40B4-BE49-F238E27FC236}">
                <a16:creationId xmlns:a16="http://schemas.microsoft.com/office/drawing/2014/main" id="{1E2B0D5B-0D16-4CE6-AD6D-493DC4A1E3A0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0" name="Straight Connector 2309">
            <a:extLst>
              <a:ext uri="{FF2B5EF4-FFF2-40B4-BE49-F238E27FC236}">
                <a16:creationId xmlns:a16="http://schemas.microsoft.com/office/drawing/2014/main" id="{FC1864BF-BBCE-4A01-BF16-98665F32B1BF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6" name="Straight Connector 2315">
            <a:extLst>
              <a:ext uri="{FF2B5EF4-FFF2-40B4-BE49-F238E27FC236}">
                <a16:creationId xmlns:a16="http://schemas.microsoft.com/office/drawing/2014/main" id="{AA9FB454-9076-4DFF-92B5-EAA3DBBE9630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4" name="Straight Connector 2333">
            <a:extLst>
              <a:ext uri="{FF2B5EF4-FFF2-40B4-BE49-F238E27FC236}">
                <a16:creationId xmlns:a16="http://schemas.microsoft.com/office/drawing/2014/main" id="{D12F949E-5917-4C39-B5F7-38B3B0304226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5" name="Straight Connector 2334">
            <a:extLst>
              <a:ext uri="{FF2B5EF4-FFF2-40B4-BE49-F238E27FC236}">
                <a16:creationId xmlns:a16="http://schemas.microsoft.com/office/drawing/2014/main" id="{DB3657A9-521E-4971-9B90-A51B17036233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69" name="Freeform: Shape 2368">
            <a:extLst>
              <a:ext uri="{FF2B5EF4-FFF2-40B4-BE49-F238E27FC236}">
                <a16:creationId xmlns:a16="http://schemas.microsoft.com/office/drawing/2014/main" id="{74313B03-D588-4437-83B8-4A3C41BC4A46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32</xdr:col>
      <xdr:colOff>51199</xdr:colOff>
      <xdr:row>119</xdr:row>
      <xdr:rowOff>133350</xdr:rowOff>
    </xdr:from>
    <xdr:to>
      <xdr:col>54</xdr:col>
      <xdr:colOff>159361</xdr:colOff>
      <xdr:row>129</xdr:row>
      <xdr:rowOff>95250</xdr:rowOff>
    </xdr:to>
    <xdr:pic>
      <xdr:nvPicPr>
        <xdr:cNvPr id="2604" name="Picture 2603">
          <a:extLst>
            <a:ext uri="{FF2B5EF4-FFF2-40B4-BE49-F238E27FC236}">
              <a16:creationId xmlns:a16="http://schemas.microsoft.com/office/drawing/2014/main" id="{9E8FC3EF-FFBF-4BB1-8597-2CE45D77B1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59" t="41090" r="35626" b="28277"/>
        <a:stretch/>
      </xdr:blipFill>
      <xdr:spPr bwMode="auto">
        <a:xfrm>
          <a:off x="5232799" y="77142975"/>
          <a:ext cx="3670512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71438</xdr:colOff>
      <xdr:row>104</xdr:row>
      <xdr:rowOff>61913</xdr:rowOff>
    </xdr:from>
    <xdr:to>
      <xdr:col>31</xdr:col>
      <xdr:colOff>90488</xdr:colOff>
      <xdr:row>149</xdr:row>
      <xdr:rowOff>85725</xdr:rowOff>
    </xdr:to>
    <xdr:grpSp>
      <xdr:nvGrpSpPr>
        <xdr:cNvPr id="359" name="Group 358">
          <a:extLst>
            <a:ext uri="{FF2B5EF4-FFF2-40B4-BE49-F238E27FC236}">
              <a16:creationId xmlns:a16="http://schemas.microsoft.com/office/drawing/2014/main" id="{2D1FFDD8-DE20-4E10-9BCE-52F4F72A64AB}"/>
            </a:ext>
          </a:extLst>
        </xdr:cNvPr>
        <xdr:cNvGrpSpPr/>
      </xdr:nvGrpSpPr>
      <xdr:grpSpPr>
        <a:xfrm>
          <a:off x="395288" y="16397288"/>
          <a:ext cx="4714875" cy="6453187"/>
          <a:chOff x="395288" y="74928413"/>
          <a:chExt cx="4714875" cy="6453187"/>
        </a:xfrm>
      </xdr:grpSpPr>
      <xdr:cxnSp macro="">
        <xdr:nvCxnSpPr>
          <xdr:cNvPr id="2607" name="Straight Connector 2606">
            <a:extLst>
              <a:ext uri="{FF2B5EF4-FFF2-40B4-BE49-F238E27FC236}">
                <a16:creationId xmlns:a16="http://schemas.microsoft.com/office/drawing/2014/main" id="{58A64D2D-3F5D-435F-BA14-11C304B30D8E}"/>
              </a:ext>
            </a:extLst>
          </xdr:cNvPr>
          <xdr:cNvCxnSpPr/>
        </xdr:nvCxnSpPr>
        <xdr:spPr>
          <a:xfrm>
            <a:off x="1133475" y="79776638"/>
            <a:ext cx="1633538" cy="38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5" name="Straight Connector 2384">
            <a:extLst>
              <a:ext uri="{FF2B5EF4-FFF2-40B4-BE49-F238E27FC236}">
                <a16:creationId xmlns:a16="http://schemas.microsoft.com/office/drawing/2014/main" id="{79821D32-B2FB-41DC-BD71-8021EEABC039}"/>
              </a:ext>
            </a:extLst>
          </xdr:cNvPr>
          <xdr:cNvCxnSpPr/>
        </xdr:nvCxnSpPr>
        <xdr:spPr>
          <a:xfrm flipH="1">
            <a:off x="2757488" y="75585638"/>
            <a:ext cx="642938" cy="1714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0" name="Straight Connector 2419">
            <a:extLst>
              <a:ext uri="{FF2B5EF4-FFF2-40B4-BE49-F238E27FC236}">
                <a16:creationId xmlns:a16="http://schemas.microsoft.com/office/drawing/2014/main" id="{E66E31AC-FD8C-4992-BA37-306E405A0FF5}"/>
              </a:ext>
            </a:extLst>
          </xdr:cNvPr>
          <xdr:cNvCxnSpPr/>
        </xdr:nvCxnSpPr>
        <xdr:spPr>
          <a:xfrm>
            <a:off x="1390650" y="75580875"/>
            <a:ext cx="1362075" cy="183482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1" name="Straight Connector 2420">
            <a:extLst>
              <a:ext uri="{FF2B5EF4-FFF2-40B4-BE49-F238E27FC236}">
                <a16:creationId xmlns:a16="http://schemas.microsoft.com/office/drawing/2014/main" id="{B39145D0-9B24-4B4C-BA0A-6263E0A5D5CE}"/>
              </a:ext>
            </a:extLst>
          </xdr:cNvPr>
          <xdr:cNvCxnSpPr/>
        </xdr:nvCxnSpPr>
        <xdr:spPr>
          <a:xfrm>
            <a:off x="1133475" y="76757213"/>
            <a:ext cx="1619250" cy="1000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3" name="Straight Connector 2442">
            <a:extLst>
              <a:ext uri="{FF2B5EF4-FFF2-40B4-BE49-F238E27FC236}">
                <a16:creationId xmlns:a16="http://schemas.microsoft.com/office/drawing/2014/main" id="{B042659B-8DE4-4B19-AA80-1F093D132DA7}"/>
              </a:ext>
            </a:extLst>
          </xdr:cNvPr>
          <xdr:cNvCxnSpPr/>
        </xdr:nvCxnSpPr>
        <xdr:spPr>
          <a:xfrm>
            <a:off x="1147763" y="77290613"/>
            <a:ext cx="1609725" cy="685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4" name="Straight Connector 2443">
            <a:extLst>
              <a:ext uri="{FF2B5EF4-FFF2-40B4-BE49-F238E27FC236}">
                <a16:creationId xmlns:a16="http://schemas.microsoft.com/office/drawing/2014/main" id="{AC7F39D8-F1EE-4254-BBC5-FDC8B2952FF6}"/>
              </a:ext>
            </a:extLst>
          </xdr:cNvPr>
          <xdr:cNvCxnSpPr/>
        </xdr:nvCxnSpPr>
        <xdr:spPr>
          <a:xfrm>
            <a:off x="1138238" y="78147863"/>
            <a:ext cx="1609725" cy="381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5" name="Straight Connector 2444">
            <a:extLst>
              <a:ext uri="{FF2B5EF4-FFF2-40B4-BE49-F238E27FC236}">
                <a16:creationId xmlns:a16="http://schemas.microsoft.com/office/drawing/2014/main" id="{429EEAE5-C854-4764-8877-F6A318438C2C}"/>
              </a:ext>
            </a:extLst>
          </xdr:cNvPr>
          <xdr:cNvCxnSpPr/>
        </xdr:nvCxnSpPr>
        <xdr:spPr>
          <a:xfrm>
            <a:off x="1143000" y="78557438"/>
            <a:ext cx="161925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6" name="Straight Connector 2445">
            <a:extLst>
              <a:ext uri="{FF2B5EF4-FFF2-40B4-BE49-F238E27FC236}">
                <a16:creationId xmlns:a16="http://schemas.microsoft.com/office/drawing/2014/main" id="{2F857570-BF38-4329-803A-8FB12279DAF7}"/>
              </a:ext>
            </a:extLst>
          </xdr:cNvPr>
          <xdr:cNvCxnSpPr/>
        </xdr:nvCxnSpPr>
        <xdr:spPr>
          <a:xfrm flipV="1">
            <a:off x="2757488" y="78557438"/>
            <a:ext cx="1609725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7" name="Straight Connector 2446">
            <a:extLst>
              <a:ext uri="{FF2B5EF4-FFF2-40B4-BE49-F238E27FC236}">
                <a16:creationId xmlns:a16="http://schemas.microsoft.com/office/drawing/2014/main" id="{E43FF1BA-A6DD-45C5-A4DF-00A7FBA1547A}"/>
              </a:ext>
            </a:extLst>
          </xdr:cNvPr>
          <xdr:cNvCxnSpPr/>
        </xdr:nvCxnSpPr>
        <xdr:spPr>
          <a:xfrm flipV="1">
            <a:off x="2752726" y="77724000"/>
            <a:ext cx="1624012" cy="51014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8" name="Straight Connector 2447">
            <a:extLst>
              <a:ext uri="{FF2B5EF4-FFF2-40B4-BE49-F238E27FC236}">
                <a16:creationId xmlns:a16="http://schemas.microsoft.com/office/drawing/2014/main" id="{B7E3054C-9548-47FD-8566-79CAD560F7C8}"/>
              </a:ext>
            </a:extLst>
          </xdr:cNvPr>
          <xdr:cNvCxnSpPr/>
        </xdr:nvCxnSpPr>
        <xdr:spPr>
          <a:xfrm flipV="1">
            <a:off x="2752725" y="77276325"/>
            <a:ext cx="1624013" cy="695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9" name="Straight Connector 2448">
            <a:extLst>
              <a:ext uri="{FF2B5EF4-FFF2-40B4-BE49-F238E27FC236}">
                <a16:creationId xmlns:a16="http://schemas.microsoft.com/office/drawing/2014/main" id="{C839A0DF-3B53-41F3-B7BE-4A987313B5E7}"/>
              </a:ext>
            </a:extLst>
          </xdr:cNvPr>
          <xdr:cNvCxnSpPr/>
        </xdr:nvCxnSpPr>
        <xdr:spPr>
          <a:xfrm flipV="1">
            <a:off x="2752725" y="76776263"/>
            <a:ext cx="1619250" cy="981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0" name="Straight Connector 2449">
            <a:extLst>
              <a:ext uri="{FF2B5EF4-FFF2-40B4-BE49-F238E27FC236}">
                <a16:creationId xmlns:a16="http://schemas.microsoft.com/office/drawing/2014/main" id="{39812FC3-9CA9-49B7-A792-93B6CCA1BA03}"/>
              </a:ext>
            </a:extLst>
          </xdr:cNvPr>
          <xdr:cNvCxnSpPr/>
        </xdr:nvCxnSpPr>
        <xdr:spPr>
          <a:xfrm flipH="1">
            <a:off x="2757488" y="75590400"/>
            <a:ext cx="1343026" cy="1828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1" name="Straight Connector 2450">
            <a:extLst>
              <a:ext uri="{FF2B5EF4-FFF2-40B4-BE49-F238E27FC236}">
                <a16:creationId xmlns:a16="http://schemas.microsoft.com/office/drawing/2014/main" id="{4BE6EACD-C3B2-44D6-BC7C-65719493A2EB}"/>
              </a:ext>
            </a:extLst>
          </xdr:cNvPr>
          <xdr:cNvCxnSpPr/>
        </xdr:nvCxnSpPr>
        <xdr:spPr>
          <a:xfrm flipV="1">
            <a:off x="2867025" y="75576113"/>
            <a:ext cx="533400" cy="143773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2" name="Straight Connector 2451">
            <a:extLst>
              <a:ext uri="{FF2B5EF4-FFF2-40B4-BE49-F238E27FC236}">
                <a16:creationId xmlns:a16="http://schemas.microsoft.com/office/drawing/2014/main" id="{3011BA0B-BEAB-42A1-9E81-3F94F8DAAFAA}"/>
              </a:ext>
            </a:extLst>
          </xdr:cNvPr>
          <xdr:cNvCxnSpPr/>
        </xdr:nvCxnSpPr>
        <xdr:spPr>
          <a:xfrm flipV="1">
            <a:off x="2757488" y="78152625"/>
            <a:ext cx="1619250" cy="3762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3" name="Straight Connector 2452">
            <a:extLst>
              <a:ext uri="{FF2B5EF4-FFF2-40B4-BE49-F238E27FC236}">
                <a16:creationId xmlns:a16="http://schemas.microsoft.com/office/drawing/2014/main" id="{696C19E9-2C9B-4D6B-BA61-720F660EA428}"/>
              </a:ext>
            </a:extLst>
          </xdr:cNvPr>
          <xdr:cNvCxnSpPr/>
        </xdr:nvCxnSpPr>
        <xdr:spPr>
          <a:xfrm flipV="1">
            <a:off x="2752725" y="75442763"/>
            <a:ext cx="0" cy="564832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4" name="Straight Connector 2453">
            <a:extLst>
              <a:ext uri="{FF2B5EF4-FFF2-40B4-BE49-F238E27FC236}">
                <a16:creationId xmlns:a16="http://schemas.microsoft.com/office/drawing/2014/main" id="{34DD20B2-9A64-478C-8B87-5E8F99465F3B}"/>
              </a:ext>
            </a:extLst>
          </xdr:cNvPr>
          <xdr:cNvCxnSpPr/>
        </xdr:nvCxnSpPr>
        <xdr:spPr>
          <a:xfrm>
            <a:off x="2119313" y="75590400"/>
            <a:ext cx="633412" cy="1709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5" name="Straight Connector 2454">
            <a:extLst>
              <a:ext uri="{FF2B5EF4-FFF2-40B4-BE49-F238E27FC236}">
                <a16:creationId xmlns:a16="http://schemas.microsoft.com/office/drawing/2014/main" id="{144D28DB-F87E-43B1-B4FC-566EC5AD5D5C}"/>
              </a:ext>
            </a:extLst>
          </xdr:cNvPr>
          <xdr:cNvCxnSpPr/>
        </xdr:nvCxnSpPr>
        <xdr:spPr>
          <a:xfrm>
            <a:off x="1143000" y="76195238"/>
            <a:ext cx="1614488" cy="1381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6" name="Straight Connector 2455">
            <a:extLst>
              <a:ext uri="{FF2B5EF4-FFF2-40B4-BE49-F238E27FC236}">
                <a16:creationId xmlns:a16="http://schemas.microsoft.com/office/drawing/2014/main" id="{081F0116-5985-47BD-A9DA-7A6FAB3A6776}"/>
              </a:ext>
            </a:extLst>
          </xdr:cNvPr>
          <xdr:cNvCxnSpPr/>
        </xdr:nvCxnSpPr>
        <xdr:spPr>
          <a:xfrm flipV="1">
            <a:off x="2752725" y="76190475"/>
            <a:ext cx="1619250" cy="1381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7" name="Straight Connector 2456">
            <a:extLst>
              <a:ext uri="{FF2B5EF4-FFF2-40B4-BE49-F238E27FC236}">
                <a16:creationId xmlns:a16="http://schemas.microsoft.com/office/drawing/2014/main" id="{2362167A-74A6-47E0-89D4-30A3898719E0}"/>
              </a:ext>
            </a:extLst>
          </xdr:cNvPr>
          <xdr:cNvCxnSpPr/>
        </xdr:nvCxnSpPr>
        <xdr:spPr>
          <a:xfrm flipV="1">
            <a:off x="2752725" y="75580875"/>
            <a:ext cx="0" cy="142875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8" name="Straight Connector 2457">
            <a:extLst>
              <a:ext uri="{FF2B5EF4-FFF2-40B4-BE49-F238E27FC236}">
                <a16:creationId xmlns:a16="http://schemas.microsoft.com/office/drawing/2014/main" id="{60E947D2-F42A-4AF0-9BC1-789291CB8B09}"/>
              </a:ext>
            </a:extLst>
          </xdr:cNvPr>
          <xdr:cNvCxnSpPr/>
        </xdr:nvCxnSpPr>
        <xdr:spPr>
          <a:xfrm flipH="1" flipV="1">
            <a:off x="2114550" y="75585638"/>
            <a:ext cx="532853" cy="14239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9" name="Straight Connector 2458">
            <a:extLst>
              <a:ext uri="{FF2B5EF4-FFF2-40B4-BE49-F238E27FC236}">
                <a16:creationId xmlns:a16="http://schemas.microsoft.com/office/drawing/2014/main" id="{00EFA7F9-9201-4945-9FDD-E6CBE9100690}"/>
              </a:ext>
            </a:extLst>
          </xdr:cNvPr>
          <xdr:cNvCxnSpPr/>
        </xdr:nvCxnSpPr>
        <xdr:spPr>
          <a:xfrm flipH="1" flipV="1">
            <a:off x="1383591" y="75580875"/>
            <a:ext cx="1207210" cy="16287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0" name="Straight Connector 2459">
            <a:extLst>
              <a:ext uri="{FF2B5EF4-FFF2-40B4-BE49-F238E27FC236}">
                <a16:creationId xmlns:a16="http://schemas.microsoft.com/office/drawing/2014/main" id="{103144A0-5851-4A8E-BA6C-37DEEA5157BF}"/>
              </a:ext>
            </a:extLst>
          </xdr:cNvPr>
          <xdr:cNvCxnSpPr/>
        </xdr:nvCxnSpPr>
        <xdr:spPr>
          <a:xfrm flipH="1">
            <a:off x="2919413" y="75585638"/>
            <a:ext cx="1181100" cy="160930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1" name="Straight Connector 2460">
            <a:extLst>
              <a:ext uri="{FF2B5EF4-FFF2-40B4-BE49-F238E27FC236}">
                <a16:creationId xmlns:a16="http://schemas.microsoft.com/office/drawing/2014/main" id="{7CE27B4C-FD31-4A77-BBA3-3B1C0ACC570A}"/>
              </a:ext>
            </a:extLst>
          </xdr:cNvPr>
          <xdr:cNvCxnSpPr/>
        </xdr:nvCxnSpPr>
        <xdr:spPr>
          <a:xfrm flipH="1" flipV="1">
            <a:off x="1138239" y="76198707"/>
            <a:ext cx="1445362" cy="123478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2" name="Straight Connector 2461">
            <a:extLst>
              <a:ext uri="{FF2B5EF4-FFF2-40B4-BE49-F238E27FC236}">
                <a16:creationId xmlns:a16="http://schemas.microsoft.com/office/drawing/2014/main" id="{988D822C-01E0-43FA-8A9D-C92BC28BC236}"/>
              </a:ext>
            </a:extLst>
          </xdr:cNvPr>
          <xdr:cNvCxnSpPr/>
        </xdr:nvCxnSpPr>
        <xdr:spPr>
          <a:xfrm flipH="1">
            <a:off x="2914650" y="76200000"/>
            <a:ext cx="1457326" cy="12382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3" name="Straight Connector 2462">
            <a:extLst>
              <a:ext uri="{FF2B5EF4-FFF2-40B4-BE49-F238E27FC236}">
                <a16:creationId xmlns:a16="http://schemas.microsoft.com/office/drawing/2014/main" id="{88B1533A-1843-44F5-B0A3-F5E463AF6628}"/>
              </a:ext>
            </a:extLst>
          </xdr:cNvPr>
          <xdr:cNvCxnSpPr/>
        </xdr:nvCxnSpPr>
        <xdr:spPr>
          <a:xfrm flipH="1" flipV="1">
            <a:off x="1128714" y="76757213"/>
            <a:ext cx="1462086" cy="9001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4" name="Straight Connector 2463">
            <a:extLst>
              <a:ext uri="{FF2B5EF4-FFF2-40B4-BE49-F238E27FC236}">
                <a16:creationId xmlns:a16="http://schemas.microsoft.com/office/drawing/2014/main" id="{34F0A50C-972A-4353-9078-BA69B5E6FE06}"/>
              </a:ext>
            </a:extLst>
          </xdr:cNvPr>
          <xdr:cNvCxnSpPr/>
        </xdr:nvCxnSpPr>
        <xdr:spPr>
          <a:xfrm flipH="1">
            <a:off x="2919413" y="76771500"/>
            <a:ext cx="1452563" cy="8953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5" name="Straight Connector 2464">
            <a:extLst>
              <a:ext uri="{FF2B5EF4-FFF2-40B4-BE49-F238E27FC236}">
                <a16:creationId xmlns:a16="http://schemas.microsoft.com/office/drawing/2014/main" id="{BF097C8A-B17E-4EDE-BB9E-497C68146E50}"/>
              </a:ext>
            </a:extLst>
          </xdr:cNvPr>
          <xdr:cNvCxnSpPr/>
        </xdr:nvCxnSpPr>
        <xdr:spPr>
          <a:xfrm flipH="1" flipV="1">
            <a:off x="1128713" y="77281086"/>
            <a:ext cx="1462087" cy="62865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6" name="Straight Connector 2465">
            <a:extLst>
              <a:ext uri="{FF2B5EF4-FFF2-40B4-BE49-F238E27FC236}">
                <a16:creationId xmlns:a16="http://schemas.microsoft.com/office/drawing/2014/main" id="{7A0583FB-D144-4BD8-8B8A-86E3142BE8D7}"/>
              </a:ext>
            </a:extLst>
          </xdr:cNvPr>
          <xdr:cNvCxnSpPr/>
        </xdr:nvCxnSpPr>
        <xdr:spPr>
          <a:xfrm flipH="1">
            <a:off x="2909888" y="77276325"/>
            <a:ext cx="1471613" cy="63341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7" name="Straight Connector 2466">
            <a:extLst>
              <a:ext uri="{FF2B5EF4-FFF2-40B4-BE49-F238E27FC236}">
                <a16:creationId xmlns:a16="http://schemas.microsoft.com/office/drawing/2014/main" id="{C4D681CB-F857-4701-A93C-13C6C4513FB8}"/>
              </a:ext>
            </a:extLst>
          </xdr:cNvPr>
          <xdr:cNvCxnSpPr/>
        </xdr:nvCxnSpPr>
        <xdr:spPr>
          <a:xfrm flipH="1" flipV="1">
            <a:off x="1137541" y="77719238"/>
            <a:ext cx="1453260" cy="4619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8" name="Straight Connector 2467">
            <a:extLst>
              <a:ext uri="{FF2B5EF4-FFF2-40B4-BE49-F238E27FC236}">
                <a16:creationId xmlns:a16="http://schemas.microsoft.com/office/drawing/2014/main" id="{629868F6-0898-49F9-9AB1-2DFAEB28C7A5}"/>
              </a:ext>
            </a:extLst>
          </xdr:cNvPr>
          <xdr:cNvCxnSpPr/>
        </xdr:nvCxnSpPr>
        <xdr:spPr>
          <a:xfrm flipH="1">
            <a:off x="2924175" y="77724000"/>
            <a:ext cx="1447800" cy="4572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9" name="Straight Connector 2468">
            <a:extLst>
              <a:ext uri="{FF2B5EF4-FFF2-40B4-BE49-F238E27FC236}">
                <a16:creationId xmlns:a16="http://schemas.microsoft.com/office/drawing/2014/main" id="{CA9EECBC-03C1-4791-93AB-E3BAAD291F01}"/>
              </a:ext>
            </a:extLst>
          </xdr:cNvPr>
          <xdr:cNvCxnSpPr/>
        </xdr:nvCxnSpPr>
        <xdr:spPr>
          <a:xfrm flipH="1" flipV="1">
            <a:off x="1128714" y="78147031"/>
            <a:ext cx="1462086" cy="34344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0" name="Straight Connector 2469">
            <a:extLst>
              <a:ext uri="{FF2B5EF4-FFF2-40B4-BE49-F238E27FC236}">
                <a16:creationId xmlns:a16="http://schemas.microsoft.com/office/drawing/2014/main" id="{60B46F70-B15A-45DA-951C-E38B1461FDA4}"/>
              </a:ext>
            </a:extLst>
          </xdr:cNvPr>
          <xdr:cNvCxnSpPr/>
        </xdr:nvCxnSpPr>
        <xdr:spPr>
          <a:xfrm flipH="1">
            <a:off x="2913723" y="78152625"/>
            <a:ext cx="1458252" cy="33813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1" name="Straight Connector 2470">
            <a:extLst>
              <a:ext uri="{FF2B5EF4-FFF2-40B4-BE49-F238E27FC236}">
                <a16:creationId xmlns:a16="http://schemas.microsoft.com/office/drawing/2014/main" id="{2FD386F1-6F49-4B4A-8DCD-B75A9543C2FD}"/>
              </a:ext>
            </a:extLst>
          </xdr:cNvPr>
          <xdr:cNvCxnSpPr/>
        </xdr:nvCxnSpPr>
        <xdr:spPr>
          <a:xfrm flipH="1" flipV="1">
            <a:off x="1128713" y="78556383"/>
            <a:ext cx="1452563" cy="25346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2" name="Straight Connector 2471">
            <a:extLst>
              <a:ext uri="{FF2B5EF4-FFF2-40B4-BE49-F238E27FC236}">
                <a16:creationId xmlns:a16="http://schemas.microsoft.com/office/drawing/2014/main" id="{838DC724-119F-4C7E-9B31-634A5DED9053}"/>
              </a:ext>
            </a:extLst>
          </xdr:cNvPr>
          <xdr:cNvCxnSpPr/>
        </xdr:nvCxnSpPr>
        <xdr:spPr>
          <a:xfrm flipH="1">
            <a:off x="2919413" y="78557438"/>
            <a:ext cx="1452564" cy="26193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3" name="Straight Connector 2472">
            <a:extLst>
              <a:ext uri="{FF2B5EF4-FFF2-40B4-BE49-F238E27FC236}">
                <a16:creationId xmlns:a16="http://schemas.microsoft.com/office/drawing/2014/main" id="{E1AD03E4-9CBA-44D0-BA8D-DE44CC2BDC7A}"/>
              </a:ext>
            </a:extLst>
          </xdr:cNvPr>
          <xdr:cNvCxnSpPr/>
        </xdr:nvCxnSpPr>
        <xdr:spPr>
          <a:xfrm>
            <a:off x="1066799" y="81010125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4" name="Straight Connector 2473">
            <a:extLst>
              <a:ext uri="{FF2B5EF4-FFF2-40B4-BE49-F238E27FC236}">
                <a16:creationId xmlns:a16="http://schemas.microsoft.com/office/drawing/2014/main" id="{BC158C71-69C4-4E2F-9D21-DB254AAA19CE}"/>
              </a:ext>
            </a:extLst>
          </xdr:cNvPr>
          <xdr:cNvCxnSpPr/>
        </xdr:nvCxnSpPr>
        <xdr:spPr>
          <a:xfrm>
            <a:off x="1133475" y="80219550"/>
            <a:ext cx="0" cy="1143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5" name="Straight Connector 2474">
            <a:extLst>
              <a:ext uri="{FF2B5EF4-FFF2-40B4-BE49-F238E27FC236}">
                <a16:creationId xmlns:a16="http://schemas.microsoft.com/office/drawing/2014/main" id="{5CB4A611-7700-4311-959D-2CC1ABAFCBB7}"/>
              </a:ext>
            </a:extLst>
          </xdr:cNvPr>
          <xdr:cNvCxnSpPr/>
        </xdr:nvCxnSpPr>
        <xdr:spPr>
          <a:xfrm flipH="1">
            <a:off x="1090613" y="809720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6" name="Straight Connector 2475">
            <a:extLst>
              <a:ext uri="{FF2B5EF4-FFF2-40B4-BE49-F238E27FC236}">
                <a16:creationId xmlns:a16="http://schemas.microsoft.com/office/drawing/2014/main" id="{CC2C8D64-6FD0-40F4-BAD1-E235705E45DB}"/>
              </a:ext>
            </a:extLst>
          </xdr:cNvPr>
          <xdr:cNvCxnSpPr/>
        </xdr:nvCxnSpPr>
        <xdr:spPr>
          <a:xfrm>
            <a:off x="4371975" y="80200500"/>
            <a:ext cx="0" cy="1181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7" name="Straight Connector 2476">
            <a:extLst>
              <a:ext uri="{FF2B5EF4-FFF2-40B4-BE49-F238E27FC236}">
                <a16:creationId xmlns:a16="http://schemas.microsoft.com/office/drawing/2014/main" id="{482A8B71-4AF4-4CD6-A7B3-5FB5043B61B5}"/>
              </a:ext>
            </a:extLst>
          </xdr:cNvPr>
          <xdr:cNvCxnSpPr/>
        </xdr:nvCxnSpPr>
        <xdr:spPr>
          <a:xfrm flipH="1">
            <a:off x="4329113" y="809720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8" name="Straight Connector 2477">
            <a:extLst>
              <a:ext uri="{FF2B5EF4-FFF2-40B4-BE49-F238E27FC236}">
                <a16:creationId xmlns:a16="http://schemas.microsoft.com/office/drawing/2014/main" id="{AC10655A-3990-4CEC-93A5-F0E994748861}"/>
              </a:ext>
            </a:extLst>
          </xdr:cNvPr>
          <xdr:cNvCxnSpPr/>
        </xdr:nvCxnSpPr>
        <xdr:spPr>
          <a:xfrm flipH="1">
            <a:off x="2709862" y="8097202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9" name="Straight Connector 2478">
            <a:extLst>
              <a:ext uri="{FF2B5EF4-FFF2-40B4-BE49-F238E27FC236}">
                <a16:creationId xmlns:a16="http://schemas.microsoft.com/office/drawing/2014/main" id="{3D5FD16C-95D9-4FC8-85AF-AE473BF14360}"/>
              </a:ext>
            </a:extLst>
          </xdr:cNvPr>
          <xdr:cNvCxnSpPr/>
        </xdr:nvCxnSpPr>
        <xdr:spPr>
          <a:xfrm>
            <a:off x="1066800" y="80438625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0" name="Straight Connector 2479">
            <a:extLst>
              <a:ext uri="{FF2B5EF4-FFF2-40B4-BE49-F238E27FC236}">
                <a16:creationId xmlns:a16="http://schemas.microsoft.com/office/drawing/2014/main" id="{B132D6BB-BC25-492F-9C8C-5E150BE07C4E}"/>
              </a:ext>
            </a:extLst>
          </xdr:cNvPr>
          <xdr:cNvCxnSpPr/>
        </xdr:nvCxnSpPr>
        <xdr:spPr>
          <a:xfrm>
            <a:off x="2590800" y="80229075"/>
            <a:ext cx="0" cy="280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1" name="Straight Connector 2480">
            <a:extLst>
              <a:ext uri="{FF2B5EF4-FFF2-40B4-BE49-F238E27FC236}">
                <a16:creationId xmlns:a16="http://schemas.microsoft.com/office/drawing/2014/main" id="{B9B2FD20-95FC-4419-95B9-842B6B1ECD51}"/>
              </a:ext>
            </a:extLst>
          </xdr:cNvPr>
          <xdr:cNvCxnSpPr/>
        </xdr:nvCxnSpPr>
        <xdr:spPr>
          <a:xfrm flipH="1">
            <a:off x="2543175" y="80395762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2" name="Straight Connector 2481">
            <a:extLst>
              <a:ext uri="{FF2B5EF4-FFF2-40B4-BE49-F238E27FC236}">
                <a16:creationId xmlns:a16="http://schemas.microsoft.com/office/drawing/2014/main" id="{F4EACF7B-4FF7-4CFE-96D5-7152AB4DEF11}"/>
              </a:ext>
            </a:extLst>
          </xdr:cNvPr>
          <xdr:cNvCxnSpPr/>
        </xdr:nvCxnSpPr>
        <xdr:spPr>
          <a:xfrm>
            <a:off x="2914650" y="80200500"/>
            <a:ext cx="0" cy="309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3" name="Straight Connector 2482">
            <a:extLst>
              <a:ext uri="{FF2B5EF4-FFF2-40B4-BE49-F238E27FC236}">
                <a16:creationId xmlns:a16="http://schemas.microsoft.com/office/drawing/2014/main" id="{AFD32F2B-C248-4DF8-AC14-EECFA3485F5C}"/>
              </a:ext>
            </a:extLst>
          </xdr:cNvPr>
          <xdr:cNvCxnSpPr/>
        </xdr:nvCxnSpPr>
        <xdr:spPr>
          <a:xfrm flipH="1">
            <a:off x="2867025" y="8039576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4" name="Straight Connector 2483">
            <a:extLst>
              <a:ext uri="{FF2B5EF4-FFF2-40B4-BE49-F238E27FC236}">
                <a16:creationId xmlns:a16="http://schemas.microsoft.com/office/drawing/2014/main" id="{E63F2564-26A0-4D6F-BC96-F68745158609}"/>
              </a:ext>
            </a:extLst>
          </xdr:cNvPr>
          <xdr:cNvCxnSpPr/>
        </xdr:nvCxnSpPr>
        <xdr:spPr>
          <a:xfrm flipH="1">
            <a:off x="3190882" y="79114652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5" name="Straight Connector 2484">
            <a:extLst>
              <a:ext uri="{FF2B5EF4-FFF2-40B4-BE49-F238E27FC236}">
                <a16:creationId xmlns:a16="http://schemas.microsoft.com/office/drawing/2014/main" id="{2E46FE9B-E255-4E3A-8914-F80D8186C86C}"/>
              </a:ext>
            </a:extLst>
          </xdr:cNvPr>
          <xdr:cNvCxnSpPr/>
        </xdr:nvCxnSpPr>
        <xdr:spPr>
          <a:xfrm>
            <a:off x="1895475" y="80062397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6" name="Straight Connector 2485">
            <a:extLst>
              <a:ext uri="{FF2B5EF4-FFF2-40B4-BE49-F238E27FC236}">
                <a16:creationId xmlns:a16="http://schemas.microsoft.com/office/drawing/2014/main" id="{8E7A3796-69A4-405A-BB53-E61545428C55}"/>
              </a:ext>
            </a:extLst>
          </xdr:cNvPr>
          <xdr:cNvCxnSpPr/>
        </xdr:nvCxnSpPr>
        <xdr:spPr>
          <a:xfrm>
            <a:off x="1824037" y="80057636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7" name="Straight Connector 2486">
            <a:extLst>
              <a:ext uri="{FF2B5EF4-FFF2-40B4-BE49-F238E27FC236}">
                <a16:creationId xmlns:a16="http://schemas.microsoft.com/office/drawing/2014/main" id="{A9D73A5B-E3E7-45C8-B4CE-544222F7BC81}"/>
              </a:ext>
            </a:extLst>
          </xdr:cNvPr>
          <xdr:cNvCxnSpPr/>
        </xdr:nvCxnSpPr>
        <xdr:spPr>
          <a:xfrm flipH="1">
            <a:off x="1090613" y="80400517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8" name="Straight Connector 2487">
            <a:extLst>
              <a:ext uri="{FF2B5EF4-FFF2-40B4-BE49-F238E27FC236}">
                <a16:creationId xmlns:a16="http://schemas.microsoft.com/office/drawing/2014/main" id="{A1C6A227-3033-40E6-8A43-EF333180AD60}"/>
              </a:ext>
            </a:extLst>
          </xdr:cNvPr>
          <xdr:cNvCxnSpPr/>
        </xdr:nvCxnSpPr>
        <xdr:spPr>
          <a:xfrm>
            <a:off x="1857375" y="805815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9" name="Straight Connector 2488">
            <a:extLst>
              <a:ext uri="{FF2B5EF4-FFF2-40B4-BE49-F238E27FC236}">
                <a16:creationId xmlns:a16="http://schemas.microsoft.com/office/drawing/2014/main" id="{3144F654-E659-4784-B050-A0CE16F93F8C}"/>
              </a:ext>
            </a:extLst>
          </xdr:cNvPr>
          <xdr:cNvCxnSpPr/>
        </xdr:nvCxnSpPr>
        <xdr:spPr>
          <a:xfrm>
            <a:off x="3648075" y="8047196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0" name="Straight Connector 2489">
            <a:extLst>
              <a:ext uri="{FF2B5EF4-FFF2-40B4-BE49-F238E27FC236}">
                <a16:creationId xmlns:a16="http://schemas.microsoft.com/office/drawing/2014/main" id="{6F4E2C1B-2B07-4965-A481-5E0EF8106144}"/>
              </a:ext>
            </a:extLst>
          </xdr:cNvPr>
          <xdr:cNvCxnSpPr/>
        </xdr:nvCxnSpPr>
        <xdr:spPr>
          <a:xfrm flipH="1">
            <a:off x="3605212" y="8068628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1" name="Straight Connector 2490">
            <a:extLst>
              <a:ext uri="{FF2B5EF4-FFF2-40B4-BE49-F238E27FC236}">
                <a16:creationId xmlns:a16="http://schemas.microsoft.com/office/drawing/2014/main" id="{3A322382-B648-465C-B1A3-D73016AAFEF7}"/>
              </a:ext>
            </a:extLst>
          </xdr:cNvPr>
          <xdr:cNvCxnSpPr/>
        </xdr:nvCxnSpPr>
        <xdr:spPr>
          <a:xfrm flipV="1">
            <a:off x="1133475" y="74942700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2" name="Straight Connector 2491">
            <a:extLst>
              <a:ext uri="{FF2B5EF4-FFF2-40B4-BE49-F238E27FC236}">
                <a16:creationId xmlns:a16="http://schemas.microsoft.com/office/drawing/2014/main" id="{99AAFDE8-4C33-47E7-80EB-C80E8E6FE3DA}"/>
              </a:ext>
            </a:extLst>
          </xdr:cNvPr>
          <xdr:cNvCxnSpPr/>
        </xdr:nvCxnSpPr>
        <xdr:spPr>
          <a:xfrm>
            <a:off x="1062038" y="7529512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3" name="Straight Connector 2492">
            <a:extLst>
              <a:ext uri="{FF2B5EF4-FFF2-40B4-BE49-F238E27FC236}">
                <a16:creationId xmlns:a16="http://schemas.microsoft.com/office/drawing/2014/main" id="{CF1E90AB-4D08-42CB-9921-C88AA16D5706}"/>
              </a:ext>
            </a:extLst>
          </xdr:cNvPr>
          <xdr:cNvCxnSpPr/>
        </xdr:nvCxnSpPr>
        <xdr:spPr>
          <a:xfrm flipH="1">
            <a:off x="1090604" y="752570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4" name="Straight Connector 2493">
            <a:extLst>
              <a:ext uri="{FF2B5EF4-FFF2-40B4-BE49-F238E27FC236}">
                <a16:creationId xmlns:a16="http://schemas.microsoft.com/office/drawing/2014/main" id="{D55C910B-E988-438D-B4C5-28CCB6A4C1CF}"/>
              </a:ext>
            </a:extLst>
          </xdr:cNvPr>
          <xdr:cNvCxnSpPr/>
        </xdr:nvCxnSpPr>
        <xdr:spPr>
          <a:xfrm>
            <a:off x="1390654" y="7522845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5" name="Straight Connector 2494">
            <a:extLst>
              <a:ext uri="{FF2B5EF4-FFF2-40B4-BE49-F238E27FC236}">
                <a16:creationId xmlns:a16="http://schemas.microsoft.com/office/drawing/2014/main" id="{E1566E1A-624D-4B8D-8A70-D1DCDCD91966}"/>
              </a:ext>
            </a:extLst>
          </xdr:cNvPr>
          <xdr:cNvCxnSpPr/>
        </xdr:nvCxnSpPr>
        <xdr:spPr>
          <a:xfrm flipH="1">
            <a:off x="1347793" y="752522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6" name="Straight Connector 2495">
            <a:extLst>
              <a:ext uri="{FF2B5EF4-FFF2-40B4-BE49-F238E27FC236}">
                <a16:creationId xmlns:a16="http://schemas.microsoft.com/office/drawing/2014/main" id="{88AFEA2E-1B00-486D-A342-B8843A752E0A}"/>
              </a:ext>
            </a:extLst>
          </xdr:cNvPr>
          <xdr:cNvCxnSpPr/>
        </xdr:nvCxnSpPr>
        <xdr:spPr>
          <a:xfrm>
            <a:off x="2752726" y="74928413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7" name="Straight Connector 2496">
            <a:extLst>
              <a:ext uri="{FF2B5EF4-FFF2-40B4-BE49-F238E27FC236}">
                <a16:creationId xmlns:a16="http://schemas.microsoft.com/office/drawing/2014/main" id="{7CB90149-4C91-4659-AEA3-550AAAC8208C}"/>
              </a:ext>
            </a:extLst>
          </xdr:cNvPr>
          <xdr:cNvCxnSpPr/>
        </xdr:nvCxnSpPr>
        <xdr:spPr>
          <a:xfrm>
            <a:off x="4090996" y="7523321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8" name="Straight Connector 2497">
            <a:extLst>
              <a:ext uri="{FF2B5EF4-FFF2-40B4-BE49-F238E27FC236}">
                <a16:creationId xmlns:a16="http://schemas.microsoft.com/office/drawing/2014/main" id="{840A1968-0528-49FB-BD15-65822DEA97CA}"/>
              </a:ext>
            </a:extLst>
          </xdr:cNvPr>
          <xdr:cNvCxnSpPr/>
        </xdr:nvCxnSpPr>
        <xdr:spPr>
          <a:xfrm flipH="1">
            <a:off x="4048134" y="7525702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9" name="Straight Connector 2498">
            <a:extLst>
              <a:ext uri="{FF2B5EF4-FFF2-40B4-BE49-F238E27FC236}">
                <a16:creationId xmlns:a16="http://schemas.microsoft.com/office/drawing/2014/main" id="{E95CD57A-A0D1-41B7-8DA2-C479213ABCD5}"/>
              </a:ext>
            </a:extLst>
          </xdr:cNvPr>
          <xdr:cNvCxnSpPr/>
        </xdr:nvCxnSpPr>
        <xdr:spPr>
          <a:xfrm flipV="1">
            <a:off x="4371975" y="74937937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0" name="Straight Connector 2499">
            <a:extLst>
              <a:ext uri="{FF2B5EF4-FFF2-40B4-BE49-F238E27FC236}">
                <a16:creationId xmlns:a16="http://schemas.microsoft.com/office/drawing/2014/main" id="{E59E5E05-97FE-4D34-9678-0458A35D6487}"/>
              </a:ext>
            </a:extLst>
          </xdr:cNvPr>
          <xdr:cNvCxnSpPr/>
        </xdr:nvCxnSpPr>
        <xdr:spPr>
          <a:xfrm flipH="1">
            <a:off x="4333876" y="752522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1" name="Straight Connector 2500">
            <a:extLst>
              <a:ext uri="{FF2B5EF4-FFF2-40B4-BE49-F238E27FC236}">
                <a16:creationId xmlns:a16="http://schemas.microsoft.com/office/drawing/2014/main" id="{7730D0E7-4717-470B-9AF0-838E0F9D5CD2}"/>
              </a:ext>
            </a:extLst>
          </xdr:cNvPr>
          <xdr:cNvCxnSpPr/>
        </xdr:nvCxnSpPr>
        <xdr:spPr>
          <a:xfrm>
            <a:off x="1057275" y="7500937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2" name="Straight Connector 2501">
            <a:extLst>
              <a:ext uri="{FF2B5EF4-FFF2-40B4-BE49-F238E27FC236}">
                <a16:creationId xmlns:a16="http://schemas.microsoft.com/office/drawing/2014/main" id="{232DD41E-6208-44C7-A2CA-42F493688726}"/>
              </a:ext>
            </a:extLst>
          </xdr:cNvPr>
          <xdr:cNvCxnSpPr/>
        </xdr:nvCxnSpPr>
        <xdr:spPr>
          <a:xfrm flipH="1">
            <a:off x="1085850" y="749712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3" name="Straight Connector 2502">
            <a:extLst>
              <a:ext uri="{FF2B5EF4-FFF2-40B4-BE49-F238E27FC236}">
                <a16:creationId xmlns:a16="http://schemas.microsoft.com/office/drawing/2014/main" id="{689A26E9-0A33-4BD2-AAFD-7685F011CC47}"/>
              </a:ext>
            </a:extLst>
          </xdr:cNvPr>
          <xdr:cNvCxnSpPr/>
        </xdr:nvCxnSpPr>
        <xdr:spPr>
          <a:xfrm flipH="1">
            <a:off x="4324350" y="749665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4" name="Straight Connector 2503">
            <a:extLst>
              <a:ext uri="{FF2B5EF4-FFF2-40B4-BE49-F238E27FC236}">
                <a16:creationId xmlns:a16="http://schemas.microsoft.com/office/drawing/2014/main" id="{FEF56645-6F5E-4427-A58D-F08BDD629D20}"/>
              </a:ext>
            </a:extLst>
          </xdr:cNvPr>
          <xdr:cNvCxnSpPr/>
        </xdr:nvCxnSpPr>
        <xdr:spPr>
          <a:xfrm flipH="1">
            <a:off x="2705101" y="7496651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5" name="Straight Connector 2504">
            <a:extLst>
              <a:ext uri="{FF2B5EF4-FFF2-40B4-BE49-F238E27FC236}">
                <a16:creationId xmlns:a16="http://schemas.microsoft.com/office/drawing/2014/main" id="{9EF3E951-8816-4139-9353-1E577EA5C7A6}"/>
              </a:ext>
            </a:extLst>
          </xdr:cNvPr>
          <xdr:cNvCxnSpPr/>
        </xdr:nvCxnSpPr>
        <xdr:spPr>
          <a:xfrm flipH="1">
            <a:off x="2705101" y="752570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6" name="Straight Connector 2505">
            <a:extLst>
              <a:ext uri="{FF2B5EF4-FFF2-40B4-BE49-F238E27FC236}">
                <a16:creationId xmlns:a16="http://schemas.microsoft.com/office/drawing/2014/main" id="{BD31F6CB-36B8-4A5F-A9ED-64FB4B9C2B73}"/>
              </a:ext>
            </a:extLst>
          </xdr:cNvPr>
          <xdr:cNvCxnSpPr/>
        </xdr:nvCxnSpPr>
        <xdr:spPr>
          <a:xfrm flipH="1">
            <a:off x="409575" y="7558087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7" name="Straight Connector 2506">
            <a:extLst>
              <a:ext uri="{FF2B5EF4-FFF2-40B4-BE49-F238E27FC236}">
                <a16:creationId xmlns:a16="http://schemas.microsoft.com/office/drawing/2014/main" id="{B705A541-B4AF-46D4-8960-2CC67408D237}"/>
              </a:ext>
            </a:extLst>
          </xdr:cNvPr>
          <xdr:cNvCxnSpPr/>
        </xdr:nvCxnSpPr>
        <xdr:spPr>
          <a:xfrm>
            <a:off x="809626" y="75514200"/>
            <a:ext cx="0" cy="4695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8" name="Straight Connector 2507">
            <a:extLst>
              <a:ext uri="{FF2B5EF4-FFF2-40B4-BE49-F238E27FC236}">
                <a16:creationId xmlns:a16="http://schemas.microsoft.com/office/drawing/2014/main" id="{70E52589-71D2-4D33-A8D2-65101CC76E85}"/>
              </a:ext>
            </a:extLst>
          </xdr:cNvPr>
          <xdr:cNvCxnSpPr/>
        </xdr:nvCxnSpPr>
        <xdr:spPr>
          <a:xfrm flipH="1">
            <a:off x="766763" y="7554277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9" name="Straight Connector 2508">
            <a:extLst>
              <a:ext uri="{FF2B5EF4-FFF2-40B4-BE49-F238E27FC236}">
                <a16:creationId xmlns:a16="http://schemas.microsoft.com/office/drawing/2014/main" id="{07815F18-CEFA-44CA-B8A4-36F3C0860331}"/>
              </a:ext>
            </a:extLst>
          </xdr:cNvPr>
          <xdr:cNvCxnSpPr/>
        </xdr:nvCxnSpPr>
        <xdr:spPr>
          <a:xfrm flipH="1">
            <a:off x="723900" y="7620475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0" name="Straight Connector 2509">
            <a:extLst>
              <a:ext uri="{FF2B5EF4-FFF2-40B4-BE49-F238E27FC236}">
                <a16:creationId xmlns:a16="http://schemas.microsoft.com/office/drawing/2014/main" id="{A4432C1E-28BA-4CD1-80AF-C51EDD029565}"/>
              </a:ext>
            </a:extLst>
          </xdr:cNvPr>
          <xdr:cNvCxnSpPr/>
        </xdr:nvCxnSpPr>
        <xdr:spPr>
          <a:xfrm flipH="1">
            <a:off x="762000" y="7616665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1" name="Straight Connector 2510">
            <a:extLst>
              <a:ext uri="{FF2B5EF4-FFF2-40B4-BE49-F238E27FC236}">
                <a16:creationId xmlns:a16="http://schemas.microsoft.com/office/drawing/2014/main" id="{F902A2CF-1E24-4C4A-90C3-1A329C438584}"/>
              </a:ext>
            </a:extLst>
          </xdr:cNvPr>
          <xdr:cNvCxnSpPr/>
        </xdr:nvCxnSpPr>
        <xdr:spPr>
          <a:xfrm flipH="1">
            <a:off x="723900" y="7734776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2" name="Straight Connector 2511">
            <a:extLst>
              <a:ext uri="{FF2B5EF4-FFF2-40B4-BE49-F238E27FC236}">
                <a16:creationId xmlns:a16="http://schemas.microsoft.com/office/drawing/2014/main" id="{3F3932E0-CFDA-47FB-8A31-4BC6CBEBF968}"/>
              </a:ext>
            </a:extLst>
          </xdr:cNvPr>
          <xdr:cNvCxnSpPr/>
        </xdr:nvCxnSpPr>
        <xdr:spPr>
          <a:xfrm flipH="1">
            <a:off x="762000" y="7730966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3" name="Straight Connector 2512">
            <a:extLst>
              <a:ext uri="{FF2B5EF4-FFF2-40B4-BE49-F238E27FC236}">
                <a16:creationId xmlns:a16="http://schemas.microsoft.com/office/drawing/2014/main" id="{8CB6EA76-50B6-43F5-BD49-0B64D2EC93D5}"/>
              </a:ext>
            </a:extLst>
          </xdr:cNvPr>
          <xdr:cNvCxnSpPr/>
        </xdr:nvCxnSpPr>
        <xdr:spPr>
          <a:xfrm flipH="1">
            <a:off x="723900" y="7782877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4" name="Straight Connector 2513">
            <a:extLst>
              <a:ext uri="{FF2B5EF4-FFF2-40B4-BE49-F238E27FC236}">
                <a16:creationId xmlns:a16="http://schemas.microsoft.com/office/drawing/2014/main" id="{EC570195-01C3-4D20-925E-87457FA92682}"/>
              </a:ext>
            </a:extLst>
          </xdr:cNvPr>
          <xdr:cNvCxnSpPr/>
        </xdr:nvCxnSpPr>
        <xdr:spPr>
          <a:xfrm flipH="1">
            <a:off x="762000" y="7779067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5" name="Straight Connector 2514">
            <a:extLst>
              <a:ext uri="{FF2B5EF4-FFF2-40B4-BE49-F238E27FC236}">
                <a16:creationId xmlns:a16="http://schemas.microsoft.com/office/drawing/2014/main" id="{4CE6953F-6A38-4822-8B31-73963DEE66DD}"/>
              </a:ext>
            </a:extLst>
          </xdr:cNvPr>
          <xdr:cNvCxnSpPr/>
        </xdr:nvCxnSpPr>
        <xdr:spPr>
          <a:xfrm flipH="1">
            <a:off x="728663" y="7824787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6" name="Straight Connector 2515">
            <a:extLst>
              <a:ext uri="{FF2B5EF4-FFF2-40B4-BE49-F238E27FC236}">
                <a16:creationId xmlns:a16="http://schemas.microsoft.com/office/drawing/2014/main" id="{9C850F9A-89B9-432D-915E-9FFDDA56C8E1}"/>
              </a:ext>
            </a:extLst>
          </xdr:cNvPr>
          <xdr:cNvCxnSpPr/>
        </xdr:nvCxnSpPr>
        <xdr:spPr>
          <a:xfrm flipH="1">
            <a:off x="766763" y="7820977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7" name="Straight Connector 2516">
            <a:extLst>
              <a:ext uri="{FF2B5EF4-FFF2-40B4-BE49-F238E27FC236}">
                <a16:creationId xmlns:a16="http://schemas.microsoft.com/office/drawing/2014/main" id="{00C77AD5-2412-4246-914D-05B176C2D33E}"/>
              </a:ext>
            </a:extLst>
          </xdr:cNvPr>
          <xdr:cNvCxnSpPr/>
        </xdr:nvCxnSpPr>
        <xdr:spPr>
          <a:xfrm flipH="1">
            <a:off x="728663" y="78557441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8" name="Straight Connector 2517">
            <a:extLst>
              <a:ext uri="{FF2B5EF4-FFF2-40B4-BE49-F238E27FC236}">
                <a16:creationId xmlns:a16="http://schemas.microsoft.com/office/drawing/2014/main" id="{5EA42EA5-FFE0-47D3-B33E-CCC5FB80F911}"/>
              </a:ext>
            </a:extLst>
          </xdr:cNvPr>
          <xdr:cNvCxnSpPr/>
        </xdr:nvCxnSpPr>
        <xdr:spPr>
          <a:xfrm flipH="1">
            <a:off x="766763" y="7851934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9" name="Straight Connector 2518">
            <a:extLst>
              <a:ext uri="{FF2B5EF4-FFF2-40B4-BE49-F238E27FC236}">
                <a16:creationId xmlns:a16="http://schemas.microsoft.com/office/drawing/2014/main" id="{FA18C6E1-47D1-4594-86CB-F960C61410CF}"/>
              </a:ext>
            </a:extLst>
          </xdr:cNvPr>
          <xdr:cNvCxnSpPr/>
        </xdr:nvCxnSpPr>
        <xdr:spPr>
          <a:xfrm flipH="1">
            <a:off x="395288" y="80152878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0" name="Straight Connector 2519">
            <a:extLst>
              <a:ext uri="{FF2B5EF4-FFF2-40B4-BE49-F238E27FC236}">
                <a16:creationId xmlns:a16="http://schemas.microsoft.com/office/drawing/2014/main" id="{90E5242A-A1A7-4C31-8CF8-EF748E91F5FF}"/>
              </a:ext>
            </a:extLst>
          </xdr:cNvPr>
          <xdr:cNvCxnSpPr/>
        </xdr:nvCxnSpPr>
        <xdr:spPr>
          <a:xfrm flipH="1">
            <a:off x="766764" y="8011477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1" name="Straight Connector 2520">
            <a:extLst>
              <a:ext uri="{FF2B5EF4-FFF2-40B4-BE49-F238E27FC236}">
                <a16:creationId xmlns:a16="http://schemas.microsoft.com/office/drawing/2014/main" id="{5D82671B-4EBA-4260-989D-B3907B7550AD}"/>
              </a:ext>
            </a:extLst>
          </xdr:cNvPr>
          <xdr:cNvCxnSpPr/>
        </xdr:nvCxnSpPr>
        <xdr:spPr>
          <a:xfrm>
            <a:off x="485776" y="75509438"/>
            <a:ext cx="0" cy="4714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2" name="Straight Connector 2521">
            <a:extLst>
              <a:ext uri="{FF2B5EF4-FFF2-40B4-BE49-F238E27FC236}">
                <a16:creationId xmlns:a16="http://schemas.microsoft.com/office/drawing/2014/main" id="{355FA3FE-3F7C-4565-8026-9BE00B354DA5}"/>
              </a:ext>
            </a:extLst>
          </xdr:cNvPr>
          <xdr:cNvCxnSpPr/>
        </xdr:nvCxnSpPr>
        <xdr:spPr>
          <a:xfrm flipH="1">
            <a:off x="442913" y="7553801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3" name="Straight Connector 2522">
            <a:extLst>
              <a:ext uri="{FF2B5EF4-FFF2-40B4-BE49-F238E27FC236}">
                <a16:creationId xmlns:a16="http://schemas.microsoft.com/office/drawing/2014/main" id="{5FEE0184-E2FE-42A4-A7D1-8F8884288695}"/>
              </a:ext>
            </a:extLst>
          </xdr:cNvPr>
          <xdr:cNvCxnSpPr/>
        </xdr:nvCxnSpPr>
        <xdr:spPr>
          <a:xfrm flipH="1">
            <a:off x="442914" y="8011001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4" name="Straight Connector 2523">
            <a:extLst>
              <a:ext uri="{FF2B5EF4-FFF2-40B4-BE49-F238E27FC236}">
                <a16:creationId xmlns:a16="http://schemas.microsoft.com/office/drawing/2014/main" id="{CDAD90AA-4363-483A-8588-D8747A05BA3B}"/>
              </a:ext>
            </a:extLst>
          </xdr:cNvPr>
          <xdr:cNvCxnSpPr/>
        </xdr:nvCxnSpPr>
        <xdr:spPr>
          <a:xfrm flipH="1">
            <a:off x="723900" y="76757211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5" name="Straight Connector 2524">
            <a:extLst>
              <a:ext uri="{FF2B5EF4-FFF2-40B4-BE49-F238E27FC236}">
                <a16:creationId xmlns:a16="http://schemas.microsoft.com/office/drawing/2014/main" id="{3855A820-8734-4540-9725-F31CD797849B}"/>
              </a:ext>
            </a:extLst>
          </xdr:cNvPr>
          <xdr:cNvCxnSpPr/>
        </xdr:nvCxnSpPr>
        <xdr:spPr>
          <a:xfrm flipH="1">
            <a:off x="762000" y="767191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6" name="Straight Connector 2525">
            <a:extLst>
              <a:ext uri="{FF2B5EF4-FFF2-40B4-BE49-F238E27FC236}">
                <a16:creationId xmlns:a16="http://schemas.microsoft.com/office/drawing/2014/main" id="{B98AC795-8FBB-44BC-BFEE-567F0961F4A8}"/>
              </a:ext>
            </a:extLst>
          </xdr:cNvPr>
          <xdr:cNvCxnSpPr/>
        </xdr:nvCxnSpPr>
        <xdr:spPr>
          <a:xfrm>
            <a:off x="4695825" y="75504675"/>
            <a:ext cx="0" cy="4714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7" name="Straight Connector 2526">
            <a:extLst>
              <a:ext uri="{FF2B5EF4-FFF2-40B4-BE49-F238E27FC236}">
                <a16:creationId xmlns:a16="http://schemas.microsoft.com/office/drawing/2014/main" id="{66880D17-65A2-4F8F-A62D-E6F9BC8A858C}"/>
              </a:ext>
            </a:extLst>
          </xdr:cNvPr>
          <xdr:cNvCxnSpPr/>
        </xdr:nvCxnSpPr>
        <xdr:spPr>
          <a:xfrm>
            <a:off x="4414838" y="80152873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8" name="Straight Connector 2527">
            <a:extLst>
              <a:ext uri="{FF2B5EF4-FFF2-40B4-BE49-F238E27FC236}">
                <a16:creationId xmlns:a16="http://schemas.microsoft.com/office/drawing/2014/main" id="{F842D8ED-5A40-4785-B80A-A4723F18230B}"/>
              </a:ext>
            </a:extLst>
          </xdr:cNvPr>
          <xdr:cNvCxnSpPr/>
        </xdr:nvCxnSpPr>
        <xdr:spPr>
          <a:xfrm>
            <a:off x="4410075" y="7558087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9" name="Straight Connector 2528">
            <a:extLst>
              <a:ext uri="{FF2B5EF4-FFF2-40B4-BE49-F238E27FC236}">
                <a16:creationId xmlns:a16="http://schemas.microsoft.com/office/drawing/2014/main" id="{F22BAEBF-FBFD-482E-9290-B538D22EB1C3}"/>
              </a:ext>
            </a:extLst>
          </xdr:cNvPr>
          <xdr:cNvCxnSpPr/>
        </xdr:nvCxnSpPr>
        <xdr:spPr>
          <a:xfrm flipH="1">
            <a:off x="4648200" y="7554277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0" name="Straight Connector 2529">
            <a:extLst>
              <a:ext uri="{FF2B5EF4-FFF2-40B4-BE49-F238E27FC236}">
                <a16:creationId xmlns:a16="http://schemas.microsoft.com/office/drawing/2014/main" id="{8BFB705D-6D3D-4ED7-97CC-B4477CBAA0AE}"/>
              </a:ext>
            </a:extLst>
          </xdr:cNvPr>
          <xdr:cNvCxnSpPr/>
        </xdr:nvCxnSpPr>
        <xdr:spPr>
          <a:xfrm flipH="1">
            <a:off x="4648201" y="80110010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1" name="Straight Connector 2530">
            <a:extLst>
              <a:ext uri="{FF2B5EF4-FFF2-40B4-BE49-F238E27FC236}">
                <a16:creationId xmlns:a16="http://schemas.microsoft.com/office/drawing/2014/main" id="{EF5A79C5-EC91-41C2-9AFC-37CB934EA483}"/>
              </a:ext>
            </a:extLst>
          </xdr:cNvPr>
          <xdr:cNvCxnSpPr/>
        </xdr:nvCxnSpPr>
        <xdr:spPr>
          <a:xfrm>
            <a:off x="3657600" y="77152500"/>
            <a:ext cx="11096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2" name="Straight Connector 2531">
            <a:extLst>
              <a:ext uri="{FF2B5EF4-FFF2-40B4-BE49-F238E27FC236}">
                <a16:creationId xmlns:a16="http://schemas.microsoft.com/office/drawing/2014/main" id="{2F413B36-758A-438C-8C55-4C8891E31EDA}"/>
              </a:ext>
            </a:extLst>
          </xdr:cNvPr>
          <xdr:cNvCxnSpPr/>
        </xdr:nvCxnSpPr>
        <xdr:spPr>
          <a:xfrm flipH="1">
            <a:off x="4652964" y="771096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3" name="Straight Connector 2532">
            <a:extLst>
              <a:ext uri="{FF2B5EF4-FFF2-40B4-BE49-F238E27FC236}">
                <a16:creationId xmlns:a16="http://schemas.microsoft.com/office/drawing/2014/main" id="{917D0796-A68C-4B04-8882-0AEAD3C16DDB}"/>
              </a:ext>
            </a:extLst>
          </xdr:cNvPr>
          <xdr:cNvCxnSpPr/>
        </xdr:nvCxnSpPr>
        <xdr:spPr>
          <a:xfrm>
            <a:off x="3238500" y="76942950"/>
            <a:ext cx="0" cy="32956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4" name="Straight Connector 2533">
            <a:extLst>
              <a:ext uri="{FF2B5EF4-FFF2-40B4-BE49-F238E27FC236}">
                <a16:creationId xmlns:a16="http://schemas.microsoft.com/office/drawing/2014/main" id="{F3B5A000-0902-4980-B96A-C0F0A274331C}"/>
              </a:ext>
            </a:extLst>
          </xdr:cNvPr>
          <xdr:cNvCxnSpPr/>
        </xdr:nvCxnSpPr>
        <xdr:spPr>
          <a:xfrm>
            <a:off x="1133475" y="77719234"/>
            <a:ext cx="1619250" cy="5143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5" name="Straight Connector 2534">
            <a:extLst>
              <a:ext uri="{FF2B5EF4-FFF2-40B4-BE49-F238E27FC236}">
                <a16:creationId xmlns:a16="http://schemas.microsoft.com/office/drawing/2014/main" id="{97CC57B0-B6FD-445A-A75D-FDAED009E6BF}"/>
              </a:ext>
            </a:extLst>
          </xdr:cNvPr>
          <xdr:cNvCxnSpPr/>
        </xdr:nvCxnSpPr>
        <xdr:spPr>
          <a:xfrm flipH="1">
            <a:off x="3186112" y="7696200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6" name="Straight Connector 2535">
            <a:extLst>
              <a:ext uri="{FF2B5EF4-FFF2-40B4-BE49-F238E27FC236}">
                <a16:creationId xmlns:a16="http://schemas.microsoft.com/office/drawing/2014/main" id="{3613A3B6-0314-4521-96D8-346A5EADC6A7}"/>
              </a:ext>
            </a:extLst>
          </xdr:cNvPr>
          <xdr:cNvCxnSpPr/>
        </xdr:nvCxnSpPr>
        <xdr:spPr>
          <a:xfrm flipH="1">
            <a:off x="2581275" y="76719113"/>
            <a:ext cx="2428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7" name="Straight Connector 2536">
            <a:extLst>
              <a:ext uri="{FF2B5EF4-FFF2-40B4-BE49-F238E27FC236}">
                <a16:creationId xmlns:a16="http://schemas.microsoft.com/office/drawing/2014/main" id="{760ACCF4-F430-48A9-AFB7-D320222D961E}"/>
              </a:ext>
            </a:extLst>
          </xdr:cNvPr>
          <xdr:cNvCxnSpPr/>
        </xdr:nvCxnSpPr>
        <xdr:spPr>
          <a:xfrm>
            <a:off x="2647955" y="76623859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8" name="Straight Connector 2537">
            <a:extLst>
              <a:ext uri="{FF2B5EF4-FFF2-40B4-BE49-F238E27FC236}">
                <a16:creationId xmlns:a16="http://schemas.microsoft.com/office/drawing/2014/main" id="{5DCB108C-36DF-41CA-B9DE-E078477799FA}"/>
              </a:ext>
            </a:extLst>
          </xdr:cNvPr>
          <xdr:cNvCxnSpPr/>
        </xdr:nvCxnSpPr>
        <xdr:spPr>
          <a:xfrm flipH="1">
            <a:off x="2595568" y="76676247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9" name="Straight Connector 2538">
            <a:extLst>
              <a:ext uri="{FF2B5EF4-FFF2-40B4-BE49-F238E27FC236}">
                <a16:creationId xmlns:a16="http://schemas.microsoft.com/office/drawing/2014/main" id="{A3EFDCA7-6B07-424B-B571-B35282D9F805}"/>
              </a:ext>
            </a:extLst>
          </xdr:cNvPr>
          <xdr:cNvCxnSpPr/>
        </xdr:nvCxnSpPr>
        <xdr:spPr>
          <a:xfrm flipH="1">
            <a:off x="2700338" y="76676250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0" name="Straight Connector 2539">
            <a:extLst>
              <a:ext uri="{FF2B5EF4-FFF2-40B4-BE49-F238E27FC236}">
                <a16:creationId xmlns:a16="http://schemas.microsoft.com/office/drawing/2014/main" id="{CC9ECAC4-C479-4CF3-906F-C2F1A60F4F31}"/>
              </a:ext>
            </a:extLst>
          </xdr:cNvPr>
          <xdr:cNvCxnSpPr/>
        </xdr:nvCxnSpPr>
        <xdr:spPr>
          <a:xfrm flipV="1">
            <a:off x="1857375" y="77152501"/>
            <a:ext cx="0" cy="31051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1" name="Straight Connector 2540">
            <a:extLst>
              <a:ext uri="{FF2B5EF4-FFF2-40B4-BE49-F238E27FC236}">
                <a16:creationId xmlns:a16="http://schemas.microsoft.com/office/drawing/2014/main" id="{10EFF19E-5341-4A56-AB62-F4F8710DB011}"/>
              </a:ext>
            </a:extLst>
          </xdr:cNvPr>
          <xdr:cNvCxnSpPr/>
        </xdr:nvCxnSpPr>
        <xdr:spPr>
          <a:xfrm flipV="1">
            <a:off x="3648075" y="77142979"/>
            <a:ext cx="0" cy="3000371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42" name="Arc 2541">
            <a:extLst>
              <a:ext uri="{FF2B5EF4-FFF2-40B4-BE49-F238E27FC236}">
                <a16:creationId xmlns:a16="http://schemas.microsoft.com/office/drawing/2014/main" id="{3C1E49A6-05B9-4BAC-BB4B-8471D22A1686}"/>
              </a:ext>
            </a:extLst>
          </xdr:cNvPr>
          <xdr:cNvSpPr/>
        </xdr:nvSpPr>
        <xdr:spPr>
          <a:xfrm rot="16200000">
            <a:off x="1857375" y="76276200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43" name="Straight Connector 2542">
            <a:extLst>
              <a:ext uri="{FF2B5EF4-FFF2-40B4-BE49-F238E27FC236}">
                <a16:creationId xmlns:a16="http://schemas.microsoft.com/office/drawing/2014/main" id="{6F4853B3-7C58-4F94-9BEE-D97D7FD7D6E6}"/>
              </a:ext>
            </a:extLst>
          </xdr:cNvPr>
          <xdr:cNvCxnSpPr/>
        </xdr:nvCxnSpPr>
        <xdr:spPr>
          <a:xfrm>
            <a:off x="1057275" y="80724375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4" name="Straight Connector 2543">
            <a:extLst>
              <a:ext uri="{FF2B5EF4-FFF2-40B4-BE49-F238E27FC236}">
                <a16:creationId xmlns:a16="http://schemas.microsoft.com/office/drawing/2014/main" id="{5280A504-00AF-47E2-BAFC-BEE641935E44}"/>
              </a:ext>
            </a:extLst>
          </xdr:cNvPr>
          <xdr:cNvCxnSpPr/>
        </xdr:nvCxnSpPr>
        <xdr:spPr>
          <a:xfrm flipH="1">
            <a:off x="1814513" y="8068151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5" name="Straight Connector 2544">
            <a:extLst>
              <a:ext uri="{FF2B5EF4-FFF2-40B4-BE49-F238E27FC236}">
                <a16:creationId xmlns:a16="http://schemas.microsoft.com/office/drawing/2014/main" id="{0332A76C-F5BC-4C33-8C96-648E113D5E19}"/>
              </a:ext>
            </a:extLst>
          </xdr:cNvPr>
          <xdr:cNvCxnSpPr/>
        </xdr:nvCxnSpPr>
        <xdr:spPr>
          <a:xfrm flipH="1">
            <a:off x="4329114" y="8040052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6" name="Straight Connector 2545">
            <a:extLst>
              <a:ext uri="{FF2B5EF4-FFF2-40B4-BE49-F238E27FC236}">
                <a16:creationId xmlns:a16="http://schemas.microsoft.com/office/drawing/2014/main" id="{B9D1F7FB-8D78-47CE-A7A9-C4E54E3042A9}"/>
              </a:ext>
            </a:extLst>
          </xdr:cNvPr>
          <xdr:cNvCxnSpPr/>
        </xdr:nvCxnSpPr>
        <xdr:spPr>
          <a:xfrm>
            <a:off x="2109797" y="75223688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7" name="Straight Connector 2546">
            <a:extLst>
              <a:ext uri="{FF2B5EF4-FFF2-40B4-BE49-F238E27FC236}">
                <a16:creationId xmlns:a16="http://schemas.microsoft.com/office/drawing/2014/main" id="{70F1C7F2-C9FB-40B3-9316-E94262B15075}"/>
              </a:ext>
            </a:extLst>
          </xdr:cNvPr>
          <xdr:cNvCxnSpPr/>
        </xdr:nvCxnSpPr>
        <xdr:spPr>
          <a:xfrm flipH="1">
            <a:off x="2066936" y="752475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8" name="Straight Connector 2547">
            <a:extLst>
              <a:ext uri="{FF2B5EF4-FFF2-40B4-BE49-F238E27FC236}">
                <a16:creationId xmlns:a16="http://schemas.microsoft.com/office/drawing/2014/main" id="{7475EF31-01DB-4B75-BD62-802616E7EA48}"/>
              </a:ext>
            </a:extLst>
          </xdr:cNvPr>
          <xdr:cNvCxnSpPr/>
        </xdr:nvCxnSpPr>
        <xdr:spPr>
          <a:xfrm>
            <a:off x="3400440" y="7523321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9" name="Straight Connector 2548">
            <a:extLst>
              <a:ext uri="{FF2B5EF4-FFF2-40B4-BE49-F238E27FC236}">
                <a16:creationId xmlns:a16="http://schemas.microsoft.com/office/drawing/2014/main" id="{3825FC0C-C8CC-465E-BE0E-A1C3FEDF6507}"/>
              </a:ext>
            </a:extLst>
          </xdr:cNvPr>
          <xdr:cNvCxnSpPr/>
        </xdr:nvCxnSpPr>
        <xdr:spPr>
          <a:xfrm flipH="1">
            <a:off x="3352816" y="7525702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0" name="Straight Connector 2549">
            <a:extLst>
              <a:ext uri="{FF2B5EF4-FFF2-40B4-BE49-F238E27FC236}">
                <a16:creationId xmlns:a16="http://schemas.microsoft.com/office/drawing/2014/main" id="{04C328E5-3289-4A8D-933C-DEC934825347}"/>
              </a:ext>
            </a:extLst>
          </xdr:cNvPr>
          <xdr:cNvCxnSpPr/>
        </xdr:nvCxnSpPr>
        <xdr:spPr>
          <a:xfrm>
            <a:off x="1066799" y="81295874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1" name="Straight Connector 2550">
            <a:extLst>
              <a:ext uri="{FF2B5EF4-FFF2-40B4-BE49-F238E27FC236}">
                <a16:creationId xmlns:a16="http://schemas.microsoft.com/office/drawing/2014/main" id="{F6F40576-B952-40B6-93FF-125E09929987}"/>
              </a:ext>
            </a:extLst>
          </xdr:cNvPr>
          <xdr:cNvCxnSpPr/>
        </xdr:nvCxnSpPr>
        <xdr:spPr>
          <a:xfrm flipH="1">
            <a:off x="1090613" y="812577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2" name="Straight Connector 2551">
            <a:extLst>
              <a:ext uri="{FF2B5EF4-FFF2-40B4-BE49-F238E27FC236}">
                <a16:creationId xmlns:a16="http://schemas.microsoft.com/office/drawing/2014/main" id="{24A291D3-6411-4D2E-88E8-6F9EB6293C11}"/>
              </a:ext>
            </a:extLst>
          </xdr:cNvPr>
          <xdr:cNvCxnSpPr/>
        </xdr:nvCxnSpPr>
        <xdr:spPr>
          <a:xfrm flipH="1">
            <a:off x="4329113" y="812577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3" name="Straight Connector 2552">
            <a:extLst>
              <a:ext uri="{FF2B5EF4-FFF2-40B4-BE49-F238E27FC236}">
                <a16:creationId xmlns:a16="http://schemas.microsoft.com/office/drawing/2014/main" id="{14B834A3-8328-40FB-85F9-643082E2BD8C}"/>
              </a:ext>
            </a:extLst>
          </xdr:cNvPr>
          <xdr:cNvCxnSpPr/>
        </xdr:nvCxnSpPr>
        <xdr:spPr>
          <a:xfrm flipH="1">
            <a:off x="1090612" y="806862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4" name="Straight Connector 2553">
            <a:extLst>
              <a:ext uri="{FF2B5EF4-FFF2-40B4-BE49-F238E27FC236}">
                <a16:creationId xmlns:a16="http://schemas.microsoft.com/office/drawing/2014/main" id="{B9D031AC-D5AC-4E32-B782-047D8916DCF8}"/>
              </a:ext>
            </a:extLst>
          </xdr:cNvPr>
          <xdr:cNvCxnSpPr/>
        </xdr:nvCxnSpPr>
        <xdr:spPr>
          <a:xfrm flipH="1">
            <a:off x="4329112" y="806862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5" name="Straight Connector 2554">
            <a:extLst>
              <a:ext uri="{FF2B5EF4-FFF2-40B4-BE49-F238E27FC236}">
                <a16:creationId xmlns:a16="http://schemas.microsoft.com/office/drawing/2014/main" id="{28671B1C-27A6-48C9-95AF-64CB31D0F6D4}"/>
              </a:ext>
            </a:extLst>
          </xdr:cNvPr>
          <xdr:cNvCxnSpPr/>
        </xdr:nvCxnSpPr>
        <xdr:spPr>
          <a:xfrm flipH="1">
            <a:off x="2709862" y="8068627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6" name="Straight Connector 2555">
            <a:extLst>
              <a:ext uri="{FF2B5EF4-FFF2-40B4-BE49-F238E27FC236}">
                <a16:creationId xmlns:a16="http://schemas.microsoft.com/office/drawing/2014/main" id="{4C59F696-DBBD-492A-BAA7-7A782ACF0B26}"/>
              </a:ext>
            </a:extLst>
          </xdr:cNvPr>
          <xdr:cNvCxnSpPr/>
        </xdr:nvCxnSpPr>
        <xdr:spPr>
          <a:xfrm>
            <a:off x="2762250" y="77295373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7" name="Straight Connector 2556">
            <a:extLst>
              <a:ext uri="{FF2B5EF4-FFF2-40B4-BE49-F238E27FC236}">
                <a16:creationId xmlns:a16="http://schemas.microsoft.com/office/drawing/2014/main" id="{DA6713EF-2E19-44DE-84BF-8278F3627157}"/>
              </a:ext>
            </a:extLst>
          </xdr:cNvPr>
          <xdr:cNvCxnSpPr/>
        </xdr:nvCxnSpPr>
        <xdr:spPr>
          <a:xfrm>
            <a:off x="2938462" y="77009625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58" name="Oval 2557">
            <a:extLst>
              <a:ext uri="{FF2B5EF4-FFF2-40B4-BE49-F238E27FC236}">
                <a16:creationId xmlns:a16="http://schemas.microsoft.com/office/drawing/2014/main" id="{AF78B6CB-5E6B-4A13-B54F-B12229EC132D}"/>
              </a:ext>
            </a:extLst>
          </xdr:cNvPr>
          <xdr:cNvSpPr/>
        </xdr:nvSpPr>
        <xdr:spPr>
          <a:xfrm>
            <a:off x="2729866" y="7712487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59" name="Straight Connector 2558">
            <a:extLst>
              <a:ext uri="{FF2B5EF4-FFF2-40B4-BE49-F238E27FC236}">
                <a16:creationId xmlns:a16="http://schemas.microsoft.com/office/drawing/2014/main" id="{52BE7947-E4F6-49B0-B6B4-B01D5913A82B}"/>
              </a:ext>
            </a:extLst>
          </xdr:cNvPr>
          <xdr:cNvCxnSpPr/>
        </xdr:nvCxnSpPr>
        <xdr:spPr>
          <a:xfrm>
            <a:off x="2195513" y="77152500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0" name="Straight Connector 2559">
            <a:extLst>
              <a:ext uri="{FF2B5EF4-FFF2-40B4-BE49-F238E27FC236}">
                <a16:creationId xmlns:a16="http://schemas.microsoft.com/office/drawing/2014/main" id="{A845B27F-7568-4610-981E-C5909044D140}"/>
              </a:ext>
            </a:extLst>
          </xdr:cNvPr>
          <xdr:cNvCxnSpPr/>
        </xdr:nvCxnSpPr>
        <xdr:spPr>
          <a:xfrm flipV="1">
            <a:off x="2266950" y="76952475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1" name="Straight Connector 2560">
            <a:extLst>
              <a:ext uri="{FF2B5EF4-FFF2-40B4-BE49-F238E27FC236}">
                <a16:creationId xmlns:a16="http://schemas.microsoft.com/office/drawing/2014/main" id="{8682A5F4-677F-4019-AAF1-CDE66F9BF515}"/>
              </a:ext>
            </a:extLst>
          </xdr:cNvPr>
          <xdr:cNvCxnSpPr/>
        </xdr:nvCxnSpPr>
        <xdr:spPr>
          <a:xfrm flipH="1">
            <a:off x="2190750" y="7700962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2" name="Straight Connector 2561">
            <a:extLst>
              <a:ext uri="{FF2B5EF4-FFF2-40B4-BE49-F238E27FC236}">
                <a16:creationId xmlns:a16="http://schemas.microsoft.com/office/drawing/2014/main" id="{F3337282-5D7E-4980-91D5-EF4065079EE3}"/>
              </a:ext>
            </a:extLst>
          </xdr:cNvPr>
          <xdr:cNvCxnSpPr/>
        </xdr:nvCxnSpPr>
        <xdr:spPr>
          <a:xfrm flipH="1">
            <a:off x="2224088" y="76976288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3" name="Straight Connector 2562">
            <a:extLst>
              <a:ext uri="{FF2B5EF4-FFF2-40B4-BE49-F238E27FC236}">
                <a16:creationId xmlns:a16="http://schemas.microsoft.com/office/drawing/2014/main" id="{FC6CDE55-A7F6-4754-81BD-50E372865CA9}"/>
              </a:ext>
            </a:extLst>
          </xdr:cNvPr>
          <xdr:cNvCxnSpPr/>
        </xdr:nvCxnSpPr>
        <xdr:spPr>
          <a:xfrm flipH="1">
            <a:off x="2228850" y="77114400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4" name="Straight Connector 2563">
            <a:extLst>
              <a:ext uri="{FF2B5EF4-FFF2-40B4-BE49-F238E27FC236}">
                <a16:creationId xmlns:a16="http://schemas.microsoft.com/office/drawing/2014/main" id="{F2097405-27D2-417F-ADE4-0B83F0D1D255}"/>
              </a:ext>
            </a:extLst>
          </xdr:cNvPr>
          <xdr:cNvCxnSpPr/>
        </xdr:nvCxnSpPr>
        <xdr:spPr>
          <a:xfrm flipH="1">
            <a:off x="3190874" y="77252511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5" name="Straight Connector 2564">
            <a:extLst>
              <a:ext uri="{FF2B5EF4-FFF2-40B4-BE49-F238E27FC236}">
                <a16:creationId xmlns:a16="http://schemas.microsoft.com/office/drawing/2014/main" id="{4AE503DE-2A47-4F0D-9D71-3119F36ECB3D}"/>
              </a:ext>
            </a:extLst>
          </xdr:cNvPr>
          <xdr:cNvCxnSpPr/>
        </xdr:nvCxnSpPr>
        <xdr:spPr>
          <a:xfrm>
            <a:off x="2767012" y="77423956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6" name="Straight Connector 2565">
            <a:extLst>
              <a:ext uri="{FF2B5EF4-FFF2-40B4-BE49-F238E27FC236}">
                <a16:creationId xmlns:a16="http://schemas.microsoft.com/office/drawing/2014/main" id="{F0CC6E95-BF8A-4FE1-AC1B-04A2F6EE24E6}"/>
              </a:ext>
            </a:extLst>
          </xdr:cNvPr>
          <xdr:cNvCxnSpPr/>
        </xdr:nvCxnSpPr>
        <xdr:spPr>
          <a:xfrm flipH="1">
            <a:off x="3195636" y="77381094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7" name="Straight Connector 2566">
            <a:extLst>
              <a:ext uri="{FF2B5EF4-FFF2-40B4-BE49-F238E27FC236}">
                <a16:creationId xmlns:a16="http://schemas.microsoft.com/office/drawing/2014/main" id="{932523A5-F653-48A2-8D12-FBE6FAC38306}"/>
              </a:ext>
            </a:extLst>
          </xdr:cNvPr>
          <xdr:cNvCxnSpPr/>
        </xdr:nvCxnSpPr>
        <xdr:spPr>
          <a:xfrm>
            <a:off x="2762249" y="7775257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8" name="Straight Connector 2567">
            <a:extLst>
              <a:ext uri="{FF2B5EF4-FFF2-40B4-BE49-F238E27FC236}">
                <a16:creationId xmlns:a16="http://schemas.microsoft.com/office/drawing/2014/main" id="{B78C566E-3BF3-4EB1-8BEA-01C3C84ED9D2}"/>
              </a:ext>
            </a:extLst>
          </xdr:cNvPr>
          <xdr:cNvCxnSpPr/>
        </xdr:nvCxnSpPr>
        <xdr:spPr>
          <a:xfrm flipH="1">
            <a:off x="3190873" y="777144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9" name="Straight Connector 2568">
            <a:extLst>
              <a:ext uri="{FF2B5EF4-FFF2-40B4-BE49-F238E27FC236}">
                <a16:creationId xmlns:a16="http://schemas.microsoft.com/office/drawing/2014/main" id="{715222BF-81F7-4E5F-B03C-5368E1531722}"/>
              </a:ext>
            </a:extLst>
          </xdr:cNvPr>
          <xdr:cNvCxnSpPr/>
        </xdr:nvCxnSpPr>
        <xdr:spPr>
          <a:xfrm>
            <a:off x="2762248" y="78228823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0" name="Straight Connector 2569">
            <a:extLst>
              <a:ext uri="{FF2B5EF4-FFF2-40B4-BE49-F238E27FC236}">
                <a16:creationId xmlns:a16="http://schemas.microsoft.com/office/drawing/2014/main" id="{3A2D3A56-1B94-4895-AE21-ECC527C390E9}"/>
              </a:ext>
            </a:extLst>
          </xdr:cNvPr>
          <xdr:cNvCxnSpPr/>
        </xdr:nvCxnSpPr>
        <xdr:spPr>
          <a:xfrm flipH="1">
            <a:off x="3190872" y="78185961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1" name="Straight Connector 2570">
            <a:extLst>
              <a:ext uri="{FF2B5EF4-FFF2-40B4-BE49-F238E27FC236}">
                <a16:creationId xmlns:a16="http://schemas.microsoft.com/office/drawing/2014/main" id="{D170AE52-BC7D-4134-BE92-24864AE96FBD}"/>
              </a:ext>
            </a:extLst>
          </xdr:cNvPr>
          <xdr:cNvCxnSpPr/>
        </xdr:nvCxnSpPr>
        <xdr:spPr>
          <a:xfrm>
            <a:off x="2767010" y="78528863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2" name="Straight Connector 2571">
            <a:extLst>
              <a:ext uri="{FF2B5EF4-FFF2-40B4-BE49-F238E27FC236}">
                <a16:creationId xmlns:a16="http://schemas.microsoft.com/office/drawing/2014/main" id="{E1B6C6EB-E544-4DC1-AB40-69B3FCC0397B}"/>
              </a:ext>
            </a:extLst>
          </xdr:cNvPr>
          <xdr:cNvCxnSpPr/>
        </xdr:nvCxnSpPr>
        <xdr:spPr>
          <a:xfrm flipH="1">
            <a:off x="3195634" y="78486001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3" name="Straight Connector 2572">
            <a:extLst>
              <a:ext uri="{FF2B5EF4-FFF2-40B4-BE49-F238E27FC236}">
                <a16:creationId xmlns:a16="http://schemas.microsoft.com/office/drawing/2014/main" id="{204CB982-FDDC-4CE7-A98B-22C25DC86C28}"/>
              </a:ext>
            </a:extLst>
          </xdr:cNvPr>
          <xdr:cNvCxnSpPr/>
        </xdr:nvCxnSpPr>
        <xdr:spPr>
          <a:xfrm>
            <a:off x="2757485" y="78847956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4" name="Straight Connector 2573">
            <a:extLst>
              <a:ext uri="{FF2B5EF4-FFF2-40B4-BE49-F238E27FC236}">
                <a16:creationId xmlns:a16="http://schemas.microsoft.com/office/drawing/2014/main" id="{9185D16F-6CF6-4B8A-B3CE-F7C8BDAEA18D}"/>
              </a:ext>
            </a:extLst>
          </xdr:cNvPr>
          <xdr:cNvCxnSpPr/>
        </xdr:nvCxnSpPr>
        <xdr:spPr>
          <a:xfrm flipH="1">
            <a:off x="3186109" y="78805094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5" name="Straight Connector 2574">
            <a:extLst>
              <a:ext uri="{FF2B5EF4-FFF2-40B4-BE49-F238E27FC236}">
                <a16:creationId xmlns:a16="http://schemas.microsoft.com/office/drawing/2014/main" id="{BC99DBC3-7C68-411B-9147-D7B0DA44A827}"/>
              </a:ext>
            </a:extLst>
          </xdr:cNvPr>
          <xdr:cNvCxnSpPr/>
        </xdr:nvCxnSpPr>
        <xdr:spPr>
          <a:xfrm>
            <a:off x="2762248" y="7797641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6" name="Straight Connector 2575">
            <a:extLst>
              <a:ext uri="{FF2B5EF4-FFF2-40B4-BE49-F238E27FC236}">
                <a16:creationId xmlns:a16="http://schemas.microsoft.com/office/drawing/2014/main" id="{B306E435-ACCA-4AC0-9A1C-9AB31596D0CF}"/>
              </a:ext>
            </a:extLst>
          </xdr:cNvPr>
          <xdr:cNvCxnSpPr/>
        </xdr:nvCxnSpPr>
        <xdr:spPr>
          <a:xfrm flipH="1">
            <a:off x="3190872" y="7792879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7" name="Straight Connector 2576">
            <a:extLst>
              <a:ext uri="{FF2B5EF4-FFF2-40B4-BE49-F238E27FC236}">
                <a16:creationId xmlns:a16="http://schemas.microsoft.com/office/drawing/2014/main" id="{AD2995EA-0C62-4E4F-BB89-D4266AE2956D}"/>
              </a:ext>
            </a:extLst>
          </xdr:cNvPr>
          <xdr:cNvCxnSpPr/>
        </xdr:nvCxnSpPr>
        <xdr:spPr>
          <a:xfrm>
            <a:off x="2762248" y="7756683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8" name="Straight Connector 2577">
            <a:extLst>
              <a:ext uri="{FF2B5EF4-FFF2-40B4-BE49-F238E27FC236}">
                <a16:creationId xmlns:a16="http://schemas.microsoft.com/office/drawing/2014/main" id="{0B81B3C4-95B5-44B6-9F5B-98099FE3FE57}"/>
              </a:ext>
            </a:extLst>
          </xdr:cNvPr>
          <xdr:cNvCxnSpPr/>
        </xdr:nvCxnSpPr>
        <xdr:spPr>
          <a:xfrm flipH="1">
            <a:off x="3190872" y="7751921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79" name="Oval 2578">
            <a:extLst>
              <a:ext uri="{FF2B5EF4-FFF2-40B4-BE49-F238E27FC236}">
                <a16:creationId xmlns:a16="http://schemas.microsoft.com/office/drawing/2014/main" id="{6D97CCAA-3ED3-4012-BC60-FE68BAF2CCD1}"/>
              </a:ext>
            </a:extLst>
          </xdr:cNvPr>
          <xdr:cNvSpPr/>
        </xdr:nvSpPr>
        <xdr:spPr>
          <a:xfrm>
            <a:off x="1833563" y="77123925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580" name="Oval 2579">
            <a:extLst>
              <a:ext uri="{FF2B5EF4-FFF2-40B4-BE49-F238E27FC236}">
                <a16:creationId xmlns:a16="http://schemas.microsoft.com/office/drawing/2014/main" id="{341CF4A1-CFDE-4F71-A25F-07C0EBD6AF75}"/>
              </a:ext>
            </a:extLst>
          </xdr:cNvPr>
          <xdr:cNvSpPr/>
        </xdr:nvSpPr>
        <xdr:spPr>
          <a:xfrm>
            <a:off x="3624263" y="7712868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81" name="Straight Connector 2580">
            <a:extLst>
              <a:ext uri="{FF2B5EF4-FFF2-40B4-BE49-F238E27FC236}">
                <a16:creationId xmlns:a16="http://schemas.microsoft.com/office/drawing/2014/main" id="{E0C0609C-C81C-43BA-B583-8C6733A0A639}"/>
              </a:ext>
            </a:extLst>
          </xdr:cNvPr>
          <xdr:cNvCxnSpPr/>
        </xdr:nvCxnSpPr>
        <xdr:spPr>
          <a:xfrm>
            <a:off x="4781550" y="77009625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2" name="Straight Connector 2581">
            <a:extLst>
              <a:ext uri="{FF2B5EF4-FFF2-40B4-BE49-F238E27FC236}">
                <a16:creationId xmlns:a16="http://schemas.microsoft.com/office/drawing/2014/main" id="{35387B00-BF99-49FF-AD87-A75B4599096B}"/>
              </a:ext>
            </a:extLst>
          </xdr:cNvPr>
          <xdr:cNvCxnSpPr/>
        </xdr:nvCxnSpPr>
        <xdr:spPr>
          <a:xfrm>
            <a:off x="5019675" y="75504675"/>
            <a:ext cx="0" cy="4714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3" name="Straight Connector 2582">
            <a:extLst>
              <a:ext uri="{FF2B5EF4-FFF2-40B4-BE49-F238E27FC236}">
                <a16:creationId xmlns:a16="http://schemas.microsoft.com/office/drawing/2014/main" id="{64A998D2-4082-451B-BD12-7421C89D2904}"/>
              </a:ext>
            </a:extLst>
          </xdr:cNvPr>
          <xdr:cNvCxnSpPr/>
        </xdr:nvCxnSpPr>
        <xdr:spPr>
          <a:xfrm flipH="1">
            <a:off x="4981576" y="80105248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4" name="Straight Connector 2583">
            <a:extLst>
              <a:ext uri="{FF2B5EF4-FFF2-40B4-BE49-F238E27FC236}">
                <a16:creationId xmlns:a16="http://schemas.microsoft.com/office/drawing/2014/main" id="{51E694E6-0ECF-4F3D-BADE-751CB3819E3D}"/>
              </a:ext>
            </a:extLst>
          </xdr:cNvPr>
          <xdr:cNvCxnSpPr/>
        </xdr:nvCxnSpPr>
        <xdr:spPr>
          <a:xfrm flipH="1">
            <a:off x="4976814" y="769667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5" name="Straight Connector 2584">
            <a:extLst>
              <a:ext uri="{FF2B5EF4-FFF2-40B4-BE49-F238E27FC236}">
                <a16:creationId xmlns:a16="http://schemas.microsoft.com/office/drawing/2014/main" id="{878809B2-B8F3-4B9A-AF95-7CAEC504F06C}"/>
              </a:ext>
            </a:extLst>
          </xdr:cNvPr>
          <xdr:cNvCxnSpPr/>
        </xdr:nvCxnSpPr>
        <xdr:spPr>
          <a:xfrm>
            <a:off x="3509962" y="77009625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6" name="Straight Connector 2585">
            <a:extLst>
              <a:ext uri="{FF2B5EF4-FFF2-40B4-BE49-F238E27FC236}">
                <a16:creationId xmlns:a16="http://schemas.microsoft.com/office/drawing/2014/main" id="{ABC694BA-BE64-42A7-81B4-AE661843F974}"/>
              </a:ext>
            </a:extLst>
          </xdr:cNvPr>
          <xdr:cNvCxnSpPr/>
        </xdr:nvCxnSpPr>
        <xdr:spPr>
          <a:xfrm>
            <a:off x="4410075" y="77009625"/>
            <a:ext cx="2571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7" name="Straight Connector 2586">
            <a:extLst>
              <a:ext uri="{FF2B5EF4-FFF2-40B4-BE49-F238E27FC236}">
                <a16:creationId xmlns:a16="http://schemas.microsoft.com/office/drawing/2014/main" id="{027535E1-826B-4F25-9718-705CC64F5823}"/>
              </a:ext>
            </a:extLst>
          </xdr:cNvPr>
          <xdr:cNvCxnSpPr/>
        </xdr:nvCxnSpPr>
        <xdr:spPr>
          <a:xfrm flipH="1">
            <a:off x="4976813" y="75533250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8" name="Straight Connector 2587">
            <a:extLst>
              <a:ext uri="{FF2B5EF4-FFF2-40B4-BE49-F238E27FC236}">
                <a16:creationId xmlns:a16="http://schemas.microsoft.com/office/drawing/2014/main" id="{74FD7ED0-4767-4482-90CD-D5E0E5F97E39}"/>
              </a:ext>
            </a:extLst>
          </xdr:cNvPr>
          <xdr:cNvCxnSpPr/>
        </xdr:nvCxnSpPr>
        <xdr:spPr>
          <a:xfrm>
            <a:off x="1143000" y="78962250"/>
            <a:ext cx="1614488" cy="18423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9" name="Straight Connector 2588">
            <a:extLst>
              <a:ext uri="{FF2B5EF4-FFF2-40B4-BE49-F238E27FC236}">
                <a16:creationId xmlns:a16="http://schemas.microsoft.com/office/drawing/2014/main" id="{4BCEB2E5-EFA4-4988-9F18-EA6F4FBDBE83}"/>
              </a:ext>
            </a:extLst>
          </xdr:cNvPr>
          <xdr:cNvCxnSpPr/>
        </xdr:nvCxnSpPr>
        <xdr:spPr>
          <a:xfrm flipH="1" flipV="1">
            <a:off x="1133475" y="78962250"/>
            <a:ext cx="1447800" cy="16192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0" name="Straight Connector 2589">
            <a:extLst>
              <a:ext uri="{FF2B5EF4-FFF2-40B4-BE49-F238E27FC236}">
                <a16:creationId xmlns:a16="http://schemas.microsoft.com/office/drawing/2014/main" id="{CEE05CE1-C1E6-4F3A-B49F-B1B01F5E5B15}"/>
              </a:ext>
            </a:extLst>
          </xdr:cNvPr>
          <xdr:cNvCxnSpPr/>
        </xdr:nvCxnSpPr>
        <xdr:spPr>
          <a:xfrm flipH="1">
            <a:off x="2919413" y="78976538"/>
            <a:ext cx="1452562" cy="15239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1" name="Straight Connector 2590">
            <a:extLst>
              <a:ext uri="{FF2B5EF4-FFF2-40B4-BE49-F238E27FC236}">
                <a16:creationId xmlns:a16="http://schemas.microsoft.com/office/drawing/2014/main" id="{676C48E6-2BCB-455C-B940-E87917F9BCD3}"/>
              </a:ext>
            </a:extLst>
          </xdr:cNvPr>
          <xdr:cNvCxnSpPr/>
        </xdr:nvCxnSpPr>
        <xdr:spPr>
          <a:xfrm>
            <a:off x="2762248" y="7914799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2" name="Straight Connector 2591">
            <a:extLst>
              <a:ext uri="{FF2B5EF4-FFF2-40B4-BE49-F238E27FC236}">
                <a16:creationId xmlns:a16="http://schemas.microsoft.com/office/drawing/2014/main" id="{A4D2BE7A-5FF6-4484-8750-798594CE3AAA}"/>
              </a:ext>
            </a:extLst>
          </xdr:cNvPr>
          <xdr:cNvCxnSpPr/>
        </xdr:nvCxnSpPr>
        <xdr:spPr>
          <a:xfrm flipH="1">
            <a:off x="3190872" y="79424219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3" name="Straight Connector 2592">
            <a:extLst>
              <a:ext uri="{FF2B5EF4-FFF2-40B4-BE49-F238E27FC236}">
                <a16:creationId xmlns:a16="http://schemas.microsoft.com/office/drawing/2014/main" id="{1C5E36C1-FF86-48FC-A3D2-5E154C2D775B}"/>
              </a:ext>
            </a:extLst>
          </xdr:cNvPr>
          <xdr:cNvCxnSpPr/>
        </xdr:nvCxnSpPr>
        <xdr:spPr>
          <a:xfrm flipH="1">
            <a:off x="728663" y="7936707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4" name="Straight Connector 2593">
            <a:extLst>
              <a:ext uri="{FF2B5EF4-FFF2-40B4-BE49-F238E27FC236}">
                <a16:creationId xmlns:a16="http://schemas.microsoft.com/office/drawing/2014/main" id="{648034AB-B513-4826-AA23-DAD0D6CFA426}"/>
              </a:ext>
            </a:extLst>
          </xdr:cNvPr>
          <xdr:cNvCxnSpPr/>
        </xdr:nvCxnSpPr>
        <xdr:spPr>
          <a:xfrm flipH="1">
            <a:off x="766763" y="7932897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6" name="Straight Connector 2595">
            <a:extLst>
              <a:ext uri="{FF2B5EF4-FFF2-40B4-BE49-F238E27FC236}">
                <a16:creationId xmlns:a16="http://schemas.microsoft.com/office/drawing/2014/main" id="{C9AA04DD-04A3-43A0-AD02-A258CBACDDE0}"/>
              </a:ext>
            </a:extLst>
          </xdr:cNvPr>
          <xdr:cNvCxnSpPr/>
        </xdr:nvCxnSpPr>
        <xdr:spPr>
          <a:xfrm>
            <a:off x="1143000" y="79362300"/>
            <a:ext cx="1604963" cy="109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7" name="Straight Connector 2596">
            <a:extLst>
              <a:ext uri="{FF2B5EF4-FFF2-40B4-BE49-F238E27FC236}">
                <a16:creationId xmlns:a16="http://schemas.microsoft.com/office/drawing/2014/main" id="{C46E6DEE-3A21-4EC8-ADE7-E5DFB49E3241}"/>
              </a:ext>
            </a:extLst>
          </xdr:cNvPr>
          <xdr:cNvCxnSpPr/>
        </xdr:nvCxnSpPr>
        <xdr:spPr>
          <a:xfrm flipH="1" flipV="1">
            <a:off x="1133475" y="79369303"/>
            <a:ext cx="1457325" cy="965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8" name="Straight Connector 2597">
            <a:extLst>
              <a:ext uri="{FF2B5EF4-FFF2-40B4-BE49-F238E27FC236}">
                <a16:creationId xmlns:a16="http://schemas.microsoft.com/office/drawing/2014/main" id="{E9026D9A-E4F1-4EE0-906A-5D49B80E61C2}"/>
              </a:ext>
            </a:extLst>
          </xdr:cNvPr>
          <xdr:cNvCxnSpPr/>
        </xdr:nvCxnSpPr>
        <xdr:spPr>
          <a:xfrm flipH="1">
            <a:off x="2914650" y="79367063"/>
            <a:ext cx="1457325" cy="1047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0" name="Straight Connector 2599">
            <a:extLst>
              <a:ext uri="{FF2B5EF4-FFF2-40B4-BE49-F238E27FC236}">
                <a16:creationId xmlns:a16="http://schemas.microsoft.com/office/drawing/2014/main" id="{A09803E4-B267-4A98-ACBC-CF0AF529424D}"/>
              </a:ext>
            </a:extLst>
          </xdr:cNvPr>
          <xdr:cNvCxnSpPr/>
        </xdr:nvCxnSpPr>
        <xdr:spPr>
          <a:xfrm flipH="1">
            <a:off x="723900" y="79776651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1" name="Straight Connector 2600">
            <a:extLst>
              <a:ext uri="{FF2B5EF4-FFF2-40B4-BE49-F238E27FC236}">
                <a16:creationId xmlns:a16="http://schemas.microsoft.com/office/drawing/2014/main" id="{BB973E76-4BF2-4981-992F-413E81CE71A1}"/>
              </a:ext>
            </a:extLst>
          </xdr:cNvPr>
          <xdr:cNvCxnSpPr/>
        </xdr:nvCxnSpPr>
        <xdr:spPr>
          <a:xfrm flipH="1">
            <a:off x="762000" y="7973855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5" name="Straight Connector 2604">
            <a:extLst>
              <a:ext uri="{FF2B5EF4-FFF2-40B4-BE49-F238E27FC236}">
                <a16:creationId xmlns:a16="http://schemas.microsoft.com/office/drawing/2014/main" id="{4DCA57A2-7BAF-4688-B0A2-7829A1D8113D}"/>
              </a:ext>
            </a:extLst>
          </xdr:cNvPr>
          <xdr:cNvCxnSpPr/>
        </xdr:nvCxnSpPr>
        <xdr:spPr>
          <a:xfrm flipH="1" flipV="1">
            <a:off x="1138238" y="79776516"/>
            <a:ext cx="1457326" cy="3785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6" name="Straight Connector 2605">
            <a:extLst>
              <a:ext uri="{FF2B5EF4-FFF2-40B4-BE49-F238E27FC236}">
                <a16:creationId xmlns:a16="http://schemas.microsoft.com/office/drawing/2014/main" id="{691BAB79-819C-4F0A-AF69-203288568970}"/>
              </a:ext>
            </a:extLst>
          </xdr:cNvPr>
          <xdr:cNvCxnSpPr/>
        </xdr:nvCxnSpPr>
        <xdr:spPr>
          <a:xfrm flipH="1">
            <a:off x="3190875" y="801052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8" name="Straight Connector 2607">
            <a:extLst>
              <a:ext uri="{FF2B5EF4-FFF2-40B4-BE49-F238E27FC236}">
                <a16:creationId xmlns:a16="http://schemas.microsoft.com/office/drawing/2014/main" id="{85B05694-D7F2-4C23-A7E1-FEB952BAA1CF}"/>
              </a:ext>
            </a:extLst>
          </xdr:cNvPr>
          <xdr:cNvCxnSpPr/>
        </xdr:nvCxnSpPr>
        <xdr:spPr>
          <a:xfrm flipH="1">
            <a:off x="2909888" y="79752825"/>
            <a:ext cx="1466850" cy="571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9" name="Straight Connector 2608">
            <a:extLst>
              <a:ext uri="{FF2B5EF4-FFF2-40B4-BE49-F238E27FC236}">
                <a16:creationId xmlns:a16="http://schemas.microsoft.com/office/drawing/2014/main" id="{02971060-E5C7-4D9C-AC60-007CFFB713B6}"/>
              </a:ext>
            </a:extLst>
          </xdr:cNvPr>
          <xdr:cNvCxnSpPr/>
        </xdr:nvCxnSpPr>
        <xdr:spPr>
          <a:xfrm>
            <a:off x="2767010" y="79471834"/>
            <a:ext cx="5429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0" name="Straight Connector 2609">
            <a:extLst>
              <a:ext uri="{FF2B5EF4-FFF2-40B4-BE49-F238E27FC236}">
                <a16:creationId xmlns:a16="http://schemas.microsoft.com/office/drawing/2014/main" id="{39F9B12A-634F-4939-A908-E543A53A05FB}"/>
              </a:ext>
            </a:extLst>
          </xdr:cNvPr>
          <xdr:cNvCxnSpPr/>
        </xdr:nvCxnSpPr>
        <xdr:spPr>
          <a:xfrm flipV="1">
            <a:off x="2757487" y="79757588"/>
            <a:ext cx="1604962" cy="5771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1" name="Straight Connector 2610">
            <a:extLst>
              <a:ext uri="{FF2B5EF4-FFF2-40B4-BE49-F238E27FC236}">
                <a16:creationId xmlns:a16="http://schemas.microsoft.com/office/drawing/2014/main" id="{DE00F715-982B-481D-945C-46A805F74569}"/>
              </a:ext>
            </a:extLst>
          </xdr:cNvPr>
          <xdr:cNvCxnSpPr/>
        </xdr:nvCxnSpPr>
        <xdr:spPr>
          <a:xfrm flipH="1">
            <a:off x="3190875" y="797718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2" name="Straight Connector 2611">
            <a:extLst>
              <a:ext uri="{FF2B5EF4-FFF2-40B4-BE49-F238E27FC236}">
                <a16:creationId xmlns:a16="http://schemas.microsoft.com/office/drawing/2014/main" id="{63AAF74B-22DB-41A2-9243-C59A94A7F23F}"/>
              </a:ext>
            </a:extLst>
          </xdr:cNvPr>
          <xdr:cNvCxnSpPr/>
        </xdr:nvCxnSpPr>
        <xdr:spPr>
          <a:xfrm>
            <a:off x="2767013" y="79814729"/>
            <a:ext cx="5429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3" name="Straight Connector 2612">
            <a:extLst>
              <a:ext uri="{FF2B5EF4-FFF2-40B4-BE49-F238E27FC236}">
                <a16:creationId xmlns:a16="http://schemas.microsoft.com/office/drawing/2014/main" id="{2AB6045D-4A90-4635-BFBB-35EC35FC624F}"/>
              </a:ext>
            </a:extLst>
          </xdr:cNvPr>
          <xdr:cNvCxnSpPr/>
        </xdr:nvCxnSpPr>
        <xdr:spPr>
          <a:xfrm flipV="1">
            <a:off x="2757488" y="79362300"/>
            <a:ext cx="1609725" cy="11009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4" name="Straight Connector 2613">
            <a:extLst>
              <a:ext uri="{FF2B5EF4-FFF2-40B4-BE49-F238E27FC236}">
                <a16:creationId xmlns:a16="http://schemas.microsoft.com/office/drawing/2014/main" id="{963B507C-BC3A-44AD-BBC0-FE9498FF8F12}"/>
              </a:ext>
            </a:extLst>
          </xdr:cNvPr>
          <xdr:cNvCxnSpPr/>
        </xdr:nvCxnSpPr>
        <xdr:spPr>
          <a:xfrm flipV="1">
            <a:off x="2757488" y="78981300"/>
            <a:ext cx="1619250" cy="1672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5" name="Straight Connector 2614">
            <a:extLst>
              <a:ext uri="{FF2B5EF4-FFF2-40B4-BE49-F238E27FC236}">
                <a16:creationId xmlns:a16="http://schemas.microsoft.com/office/drawing/2014/main" id="{1CB0966A-011C-4601-B3C3-B0697E9902C5}"/>
              </a:ext>
            </a:extLst>
          </xdr:cNvPr>
          <xdr:cNvCxnSpPr/>
        </xdr:nvCxnSpPr>
        <xdr:spPr>
          <a:xfrm flipH="1">
            <a:off x="723900" y="7895749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6" name="Straight Connector 2615">
            <a:extLst>
              <a:ext uri="{FF2B5EF4-FFF2-40B4-BE49-F238E27FC236}">
                <a16:creationId xmlns:a16="http://schemas.microsoft.com/office/drawing/2014/main" id="{1B83B83B-E180-4501-AFDE-4399AA5684A0}"/>
              </a:ext>
            </a:extLst>
          </xdr:cNvPr>
          <xdr:cNvCxnSpPr/>
        </xdr:nvCxnSpPr>
        <xdr:spPr>
          <a:xfrm flipH="1">
            <a:off x="762000" y="7891939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55</xdr:col>
      <xdr:colOff>123825</xdr:colOff>
      <xdr:row>159</xdr:row>
      <xdr:rowOff>47625</xdr:rowOff>
    </xdr:from>
    <xdr:to>
      <xdr:col>57</xdr:col>
      <xdr:colOff>142875</xdr:colOff>
      <xdr:row>160</xdr:row>
      <xdr:rowOff>66675</xdr:rowOff>
    </xdr:to>
    <xdr:cxnSp macro="">
      <xdr:nvCxnSpPr>
        <xdr:cNvPr id="2617" name="Straight Arrow Connector 2616">
          <a:extLst>
            <a:ext uri="{FF2B5EF4-FFF2-40B4-BE49-F238E27FC236}">
              <a16:creationId xmlns:a16="http://schemas.microsoft.com/office/drawing/2014/main" id="{01E7CFDB-5E82-45F3-8856-3160C5D97C9C}"/>
            </a:ext>
          </a:extLst>
        </xdr:cNvPr>
        <xdr:cNvCxnSpPr/>
      </xdr:nvCxnSpPr>
      <xdr:spPr>
        <a:xfrm flipH="1" flipV="1">
          <a:off x="9029700" y="8743950"/>
          <a:ext cx="34290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85725</xdr:colOff>
      <xdr:row>191</xdr:row>
      <xdr:rowOff>66675</xdr:rowOff>
    </xdr:from>
    <xdr:to>
      <xdr:col>45</xdr:col>
      <xdr:colOff>8164</xdr:colOff>
      <xdr:row>197</xdr:row>
      <xdr:rowOff>1360</xdr:rowOff>
    </xdr:to>
    <xdr:grpSp>
      <xdr:nvGrpSpPr>
        <xdr:cNvPr id="2618" name="Group 2617">
          <a:extLst>
            <a:ext uri="{FF2B5EF4-FFF2-40B4-BE49-F238E27FC236}">
              <a16:creationId xmlns:a16="http://schemas.microsoft.com/office/drawing/2014/main" id="{0547418D-F520-4EEF-B340-BE3CDDDCA7A9}"/>
            </a:ext>
          </a:extLst>
        </xdr:cNvPr>
        <xdr:cNvGrpSpPr/>
      </xdr:nvGrpSpPr>
      <xdr:grpSpPr>
        <a:xfrm>
          <a:off x="5591175" y="29327475"/>
          <a:ext cx="1703614" cy="791935"/>
          <a:chOff x="6076950" y="10163175"/>
          <a:chExt cx="1703614" cy="791935"/>
        </a:xfrm>
      </xdr:grpSpPr>
      <xdr:sp macro="" textlink="">
        <xdr:nvSpPr>
          <xdr:cNvPr id="2619" name="Freeform: Shape 2618">
            <a:extLst>
              <a:ext uri="{FF2B5EF4-FFF2-40B4-BE49-F238E27FC236}">
                <a16:creationId xmlns:a16="http://schemas.microsoft.com/office/drawing/2014/main" id="{5EC6038B-4E75-4434-99CC-AFEBF4683D8F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620" name="Freeform: Shape 2619">
            <a:extLst>
              <a:ext uri="{FF2B5EF4-FFF2-40B4-BE49-F238E27FC236}">
                <a16:creationId xmlns:a16="http://schemas.microsoft.com/office/drawing/2014/main" id="{6E28AF3F-AB97-4885-9BB4-358A861B2CE5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621" name="Freeform: Shape 2620">
            <a:extLst>
              <a:ext uri="{FF2B5EF4-FFF2-40B4-BE49-F238E27FC236}">
                <a16:creationId xmlns:a16="http://schemas.microsoft.com/office/drawing/2014/main" id="{EF1497E1-90C9-44D0-ACB8-31B8CD048AE9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622" name="Straight Connector 2621">
            <a:extLst>
              <a:ext uri="{FF2B5EF4-FFF2-40B4-BE49-F238E27FC236}">
                <a16:creationId xmlns:a16="http://schemas.microsoft.com/office/drawing/2014/main" id="{B800C964-3DB4-45C3-9F61-C140187B9E47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3" name="Straight Connector 2622">
            <a:extLst>
              <a:ext uri="{FF2B5EF4-FFF2-40B4-BE49-F238E27FC236}">
                <a16:creationId xmlns:a16="http://schemas.microsoft.com/office/drawing/2014/main" id="{895F4BE2-8614-462D-ADBF-AF3D12F349FC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4" name="Straight Connector 2623">
            <a:extLst>
              <a:ext uri="{FF2B5EF4-FFF2-40B4-BE49-F238E27FC236}">
                <a16:creationId xmlns:a16="http://schemas.microsoft.com/office/drawing/2014/main" id="{ACE96E9E-A507-4C71-8BA5-4F5DFA212C6A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5" name="Straight Connector 2624">
            <a:extLst>
              <a:ext uri="{FF2B5EF4-FFF2-40B4-BE49-F238E27FC236}">
                <a16:creationId xmlns:a16="http://schemas.microsoft.com/office/drawing/2014/main" id="{888BCA4E-4DC5-4E2E-A8F4-4F37D3DA7626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6" name="Straight Connector 2625">
            <a:extLst>
              <a:ext uri="{FF2B5EF4-FFF2-40B4-BE49-F238E27FC236}">
                <a16:creationId xmlns:a16="http://schemas.microsoft.com/office/drawing/2014/main" id="{97A3FA1D-7190-46C2-B970-07FC36497BD0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7" name="Straight Connector 2626">
            <a:extLst>
              <a:ext uri="{FF2B5EF4-FFF2-40B4-BE49-F238E27FC236}">
                <a16:creationId xmlns:a16="http://schemas.microsoft.com/office/drawing/2014/main" id="{011F391F-0728-4D8F-AED4-543F6DD1F75E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8" name="Straight Connector 2627">
            <a:extLst>
              <a:ext uri="{FF2B5EF4-FFF2-40B4-BE49-F238E27FC236}">
                <a16:creationId xmlns:a16="http://schemas.microsoft.com/office/drawing/2014/main" id="{A02E125B-F109-44C3-BF93-44BBB3D30F97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9" name="Straight Connector 2628">
            <a:extLst>
              <a:ext uri="{FF2B5EF4-FFF2-40B4-BE49-F238E27FC236}">
                <a16:creationId xmlns:a16="http://schemas.microsoft.com/office/drawing/2014/main" id="{542E4C3C-2820-4F13-835C-A1DEACA21184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0" name="Straight Connector 2629">
            <a:extLst>
              <a:ext uri="{FF2B5EF4-FFF2-40B4-BE49-F238E27FC236}">
                <a16:creationId xmlns:a16="http://schemas.microsoft.com/office/drawing/2014/main" id="{17912660-DD1C-4685-B6AD-9D4747CC6DF9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1" name="Straight Connector 2630">
            <a:extLst>
              <a:ext uri="{FF2B5EF4-FFF2-40B4-BE49-F238E27FC236}">
                <a16:creationId xmlns:a16="http://schemas.microsoft.com/office/drawing/2014/main" id="{FD79E40D-538E-4D4C-B6FD-AD86A0231916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32" name="Freeform: Shape 2631">
            <a:extLst>
              <a:ext uri="{FF2B5EF4-FFF2-40B4-BE49-F238E27FC236}">
                <a16:creationId xmlns:a16="http://schemas.microsoft.com/office/drawing/2014/main" id="{3E7AE592-138E-4AFA-B2F1-B217E6A14BD0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153</xdr:row>
      <xdr:rowOff>61913</xdr:rowOff>
    </xdr:from>
    <xdr:to>
      <xdr:col>31</xdr:col>
      <xdr:colOff>90488</xdr:colOff>
      <xdr:row>197</xdr:row>
      <xdr:rowOff>85725</xdr:rowOff>
    </xdr:to>
    <xdr:grpSp>
      <xdr:nvGrpSpPr>
        <xdr:cNvPr id="2840" name="Group 2839">
          <a:extLst>
            <a:ext uri="{FF2B5EF4-FFF2-40B4-BE49-F238E27FC236}">
              <a16:creationId xmlns:a16="http://schemas.microsoft.com/office/drawing/2014/main" id="{D78ABE55-DDAB-42B5-BB02-A363DBE3F702}"/>
            </a:ext>
          </a:extLst>
        </xdr:cNvPr>
        <xdr:cNvGrpSpPr/>
      </xdr:nvGrpSpPr>
      <xdr:grpSpPr>
        <a:xfrm>
          <a:off x="395288" y="23893463"/>
          <a:ext cx="4714875" cy="6310312"/>
          <a:chOff x="395288" y="82424588"/>
          <a:chExt cx="4714875" cy="6310312"/>
        </a:xfrm>
      </xdr:grpSpPr>
      <xdr:cxnSp macro="">
        <xdr:nvCxnSpPr>
          <xdr:cNvPr id="2817" name="Straight Connector 2816">
            <a:extLst>
              <a:ext uri="{FF2B5EF4-FFF2-40B4-BE49-F238E27FC236}">
                <a16:creationId xmlns:a16="http://schemas.microsoft.com/office/drawing/2014/main" id="{767D1359-F3C6-467D-8C58-DA192E18890D}"/>
              </a:ext>
            </a:extLst>
          </xdr:cNvPr>
          <xdr:cNvCxnSpPr/>
        </xdr:nvCxnSpPr>
        <xdr:spPr>
          <a:xfrm>
            <a:off x="1138238" y="87058501"/>
            <a:ext cx="1624012" cy="10477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4" name="Straight Connector 2633">
            <a:extLst>
              <a:ext uri="{FF2B5EF4-FFF2-40B4-BE49-F238E27FC236}">
                <a16:creationId xmlns:a16="http://schemas.microsoft.com/office/drawing/2014/main" id="{07C26ADB-0C12-4B2B-9DF6-7E427BEBA108}"/>
              </a:ext>
            </a:extLst>
          </xdr:cNvPr>
          <xdr:cNvCxnSpPr/>
        </xdr:nvCxnSpPr>
        <xdr:spPr>
          <a:xfrm flipH="1">
            <a:off x="2748887" y="83081813"/>
            <a:ext cx="327689" cy="1814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5" name="Straight Connector 2634">
            <a:extLst>
              <a:ext uri="{FF2B5EF4-FFF2-40B4-BE49-F238E27FC236}">
                <a16:creationId xmlns:a16="http://schemas.microsoft.com/office/drawing/2014/main" id="{CDF77348-857F-4CAA-AD43-6C4F57F3B18F}"/>
              </a:ext>
            </a:extLst>
          </xdr:cNvPr>
          <xdr:cNvCxnSpPr/>
        </xdr:nvCxnSpPr>
        <xdr:spPr>
          <a:xfrm>
            <a:off x="1900238" y="83081813"/>
            <a:ext cx="852487" cy="21383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6" name="Straight Connector 2635">
            <a:extLst>
              <a:ext uri="{FF2B5EF4-FFF2-40B4-BE49-F238E27FC236}">
                <a16:creationId xmlns:a16="http://schemas.microsoft.com/office/drawing/2014/main" id="{E2D04D04-DD15-4FB1-8193-A674739BE824}"/>
              </a:ext>
            </a:extLst>
          </xdr:cNvPr>
          <xdr:cNvCxnSpPr/>
        </xdr:nvCxnSpPr>
        <xdr:spPr>
          <a:xfrm>
            <a:off x="1128713" y="83715225"/>
            <a:ext cx="1624012" cy="1804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7" name="Straight Connector 2636">
            <a:extLst>
              <a:ext uri="{FF2B5EF4-FFF2-40B4-BE49-F238E27FC236}">
                <a16:creationId xmlns:a16="http://schemas.microsoft.com/office/drawing/2014/main" id="{C433FFC9-50DA-48A4-8273-D4669DB2B03A}"/>
              </a:ext>
            </a:extLst>
          </xdr:cNvPr>
          <xdr:cNvCxnSpPr/>
        </xdr:nvCxnSpPr>
        <xdr:spPr>
          <a:xfrm>
            <a:off x="1138238" y="84310538"/>
            <a:ext cx="1614487" cy="1328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8" name="Straight Connector 2637">
            <a:extLst>
              <a:ext uri="{FF2B5EF4-FFF2-40B4-BE49-F238E27FC236}">
                <a16:creationId xmlns:a16="http://schemas.microsoft.com/office/drawing/2014/main" id="{CCBF9E24-2DF9-4913-993A-008072722E98}"/>
              </a:ext>
            </a:extLst>
          </xdr:cNvPr>
          <xdr:cNvCxnSpPr/>
        </xdr:nvCxnSpPr>
        <xdr:spPr>
          <a:xfrm>
            <a:off x="1147763" y="85305900"/>
            <a:ext cx="1600200" cy="733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9" name="Straight Connector 2638">
            <a:extLst>
              <a:ext uri="{FF2B5EF4-FFF2-40B4-BE49-F238E27FC236}">
                <a16:creationId xmlns:a16="http://schemas.microsoft.com/office/drawing/2014/main" id="{03F75FB8-8D18-490C-A8E1-51ACAEAFE6ED}"/>
              </a:ext>
            </a:extLst>
          </xdr:cNvPr>
          <xdr:cNvCxnSpPr/>
        </xdr:nvCxnSpPr>
        <xdr:spPr>
          <a:xfrm>
            <a:off x="1143000" y="85767863"/>
            <a:ext cx="1609725" cy="533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0" name="Straight Connector 2639">
            <a:extLst>
              <a:ext uri="{FF2B5EF4-FFF2-40B4-BE49-F238E27FC236}">
                <a16:creationId xmlns:a16="http://schemas.microsoft.com/office/drawing/2014/main" id="{4985CFA0-D8BF-4C2B-8C83-0A7321ED0F76}"/>
              </a:ext>
            </a:extLst>
          </xdr:cNvPr>
          <xdr:cNvCxnSpPr/>
        </xdr:nvCxnSpPr>
        <xdr:spPr>
          <a:xfrm flipV="1">
            <a:off x="2752725" y="85772625"/>
            <a:ext cx="1619250" cy="5296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1" name="Straight Connector 2640">
            <a:extLst>
              <a:ext uri="{FF2B5EF4-FFF2-40B4-BE49-F238E27FC236}">
                <a16:creationId xmlns:a16="http://schemas.microsoft.com/office/drawing/2014/main" id="{63E588B1-9FC7-41B8-8BEF-AC0E8F7F96D0}"/>
              </a:ext>
            </a:extLst>
          </xdr:cNvPr>
          <xdr:cNvCxnSpPr/>
        </xdr:nvCxnSpPr>
        <xdr:spPr>
          <a:xfrm flipV="1">
            <a:off x="2752725" y="84829650"/>
            <a:ext cx="1614488" cy="990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2" name="Straight Connector 2641">
            <a:extLst>
              <a:ext uri="{FF2B5EF4-FFF2-40B4-BE49-F238E27FC236}">
                <a16:creationId xmlns:a16="http://schemas.microsoft.com/office/drawing/2014/main" id="{9C54BBBF-4CBC-41AE-BE98-073D44043277}"/>
              </a:ext>
            </a:extLst>
          </xdr:cNvPr>
          <xdr:cNvCxnSpPr/>
        </xdr:nvCxnSpPr>
        <xdr:spPr>
          <a:xfrm flipV="1">
            <a:off x="2747963" y="84324825"/>
            <a:ext cx="1628775" cy="1314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3" name="Straight Connector 2642">
            <a:extLst>
              <a:ext uri="{FF2B5EF4-FFF2-40B4-BE49-F238E27FC236}">
                <a16:creationId xmlns:a16="http://schemas.microsoft.com/office/drawing/2014/main" id="{F14A36CE-A575-493C-BF6A-2A300D9FFB4D}"/>
              </a:ext>
            </a:extLst>
          </xdr:cNvPr>
          <xdr:cNvCxnSpPr/>
        </xdr:nvCxnSpPr>
        <xdr:spPr>
          <a:xfrm flipV="1">
            <a:off x="2752725" y="83719988"/>
            <a:ext cx="1619250" cy="1790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4" name="Straight Connector 2643">
            <a:extLst>
              <a:ext uri="{FF2B5EF4-FFF2-40B4-BE49-F238E27FC236}">
                <a16:creationId xmlns:a16="http://schemas.microsoft.com/office/drawing/2014/main" id="{2A74354A-89F9-4602-8603-ED4EC742970E}"/>
              </a:ext>
            </a:extLst>
          </xdr:cNvPr>
          <xdr:cNvCxnSpPr/>
        </xdr:nvCxnSpPr>
        <xdr:spPr>
          <a:xfrm flipH="1">
            <a:off x="2752725" y="83072288"/>
            <a:ext cx="852488" cy="21621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5" name="Straight Connector 2644">
            <a:extLst>
              <a:ext uri="{FF2B5EF4-FFF2-40B4-BE49-F238E27FC236}">
                <a16:creationId xmlns:a16="http://schemas.microsoft.com/office/drawing/2014/main" id="{B5C2A69E-C943-42A9-831F-67163E792081}"/>
              </a:ext>
            </a:extLst>
          </xdr:cNvPr>
          <xdr:cNvCxnSpPr/>
        </xdr:nvCxnSpPr>
        <xdr:spPr>
          <a:xfrm flipV="1">
            <a:off x="2824163" y="83081813"/>
            <a:ext cx="252412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6" name="Straight Connector 2645">
            <a:extLst>
              <a:ext uri="{FF2B5EF4-FFF2-40B4-BE49-F238E27FC236}">
                <a16:creationId xmlns:a16="http://schemas.microsoft.com/office/drawing/2014/main" id="{751EEC19-2C3F-4197-B31A-FCDC3D999F01}"/>
              </a:ext>
            </a:extLst>
          </xdr:cNvPr>
          <xdr:cNvCxnSpPr/>
        </xdr:nvCxnSpPr>
        <xdr:spPr>
          <a:xfrm flipV="1">
            <a:off x="2752725" y="85320190"/>
            <a:ext cx="1624013" cy="71913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7" name="Straight Connector 2646">
            <a:extLst>
              <a:ext uri="{FF2B5EF4-FFF2-40B4-BE49-F238E27FC236}">
                <a16:creationId xmlns:a16="http://schemas.microsoft.com/office/drawing/2014/main" id="{B41C34C8-94A3-4DB6-9FB9-C77424636079}"/>
              </a:ext>
            </a:extLst>
          </xdr:cNvPr>
          <xdr:cNvCxnSpPr/>
        </xdr:nvCxnSpPr>
        <xdr:spPr>
          <a:xfrm flipV="1">
            <a:off x="2752725" y="82938938"/>
            <a:ext cx="0" cy="550545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8" name="Straight Connector 2647">
            <a:extLst>
              <a:ext uri="{FF2B5EF4-FFF2-40B4-BE49-F238E27FC236}">
                <a16:creationId xmlns:a16="http://schemas.microsoft.com/office/drawing/2014/main" id="{56B7B42F-F902-4AD2-A21A-518E798C036F}"/>
              </a:ext>
            </a:extLst>
          </xdr:cNvPr>
          <xdr:cNvCxnSpPr/>
        </xdr:nvCxnSpPr>
        <xdr:spPr>
          <a:xfrm>
            <a:off x="2447925" y="83091338"/>
            <a:ext cx="301694" cy="1790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9" name="Straight Connector 2648">
            <a:extLst>
              <a:ext uri="{FF2B5EF4-FFF2-40B4-BE49-F238E27FC236}">
                <a16:creationId xmlns:a16="http://schemas.microsoft.com/office/drawing/2014/main" id="{2B70B107-328E-4189-8029-15F41B25F2F4}"/>
              </a:ext>
            </a:extLst>
          </xdr:cNvPr>
          <xdr:cNvCxnSpPr/>
        </xdr:nvCxnSpPr>
        <xdr:spPr>
          <a:xfrm>
            <a:off x="1281113" y="83086575"/>
            <a:ext cx="1466850" cy="22907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0" name="Straight Connector 2649">
            <a:extLst>
              <a:ext uri="{FF2B5EF4-FFF2-40B4-BE49-F238E27FC236}">
                <a16:creationId xmlns:a16="http://schemas.microsoft.com/office/drawing/2014/main" id="{C2B519A4-FCEC-484E-9D49-4B7B16382E9B}"/>
              </a:ext>
            </a:extLst>
          </xdr:cNvPr>
          <xdr:cNvCxnSpPr/>
        </xdr:nvCxnSpPr>
        <xdr:spPr>
          <a:xfrm flipV="1">
            <a:off x="2752725" y="83091340"/>
            <a:ext cx="1457325" cy="228599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1" name="Straight Connector 2650">
            <a:extLst>
              <a:ext uri="{FF2B5EF4-FFF2-40B4-BE49-F238E27FC236}">
                <a16:creationId xmlns:a16="http://schemas.microsoft.com/office/drawing/2014/main" id="{30648516-32AD-4312-8DE2-6BE0C760AD15}"/>
              </a:ext>
            </a:extLst>
          </xdr:cNvPr>
          <xdr:cNvCxnSpPr/>
        </xdr:nvCxnSpPr>
        <xdr:spPr>
          <a:xfrm flipH="1" flipV="1">
            <a:off x="2446306" y="83077050"/>
            <a:ext cx="244509" cy="143827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2" name="Straight Connector 2651">
            <a:extLst>
              <a:ext uri="{FF2B5EF4-FFF2-40B4-BE49-F238E27FC236}">
                <a16:creationId xmlns:a16="http://schemas.microsoft.com/office/drawing/2014/main" id="{E4964A93-30AD-4185-AC14-C2CB7F815DF5}"/>
              </a:ext>
            </a:extLst>
          </xdr:cNvPr>
          <xdr:cNvCxnSpPr/>
        </xdr:nvCxnSpPr>
        <xdr:spPr>
          <a:xfrm flipH="1" flipV="1">
            <a:off x="1898346" y="83081813"/>
            <a:ext cx="701979" cy="17383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3" name="Straight Connector 2652">
            <a:extLst>
              <a:ext uri="{FF2B5EF4-FFF2-40B4-BE49-F238E27FC236}">
                <a16:creationId xmlns:a16="http://schemas.microsoft.com/office/drawing/2014/main" id="{3DF75AFC-33C5-4680-82D6-34CC7FF26134}"/>
              </a:ext>
            </a:extLst>
          </xdr:cNvPr>
          <xdr:cNvCxnSpPr/>
        </xdr:nvCxnSpPr>
        <xdr:spPr>
          <a:xfrm flipH="1">
            <a:off x="2914651" y="83086575"/>
            <a:ext cx="683076" cy="173831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4" name="Straight Connector 2653">
            <a:extLst>
              <a:ext uri="{FF2B5EF4-FFF2-40B4-BE49-F238E27FC236}">
                <a16:creationId xmlns:a16="http://schemas.microsoft.com/office/drawing/2014/main" id="{36C6313A-8FDB-4763-834D-2EB4EB8DF786}"/>
              </a:ext>
            </a:extLst>
          </xdr:cNvPr>
          <xdr:cNvCxnSpPr/>
        </xdr:nvCxnSpPr>
        <xdr:spPr>
          <a:xfrm flipH="1" flipV="1">
            <a:off x="1281113" y="83081814"/>
            <a:ext cx="1319212" cy="206692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5" name="Straight Connector 2654">
            <a:extLst>
              <a:ext uri="{FF2B5EF4-FFF2-40B4-BE49-F238E27FC236}">
                <a16:creationId xmlns:a16="http://schemas.microsoft.com/office/drawing/2014/main" id="{673F55CD-02C4-44F0-AAB1-7705B4CFCEE4}"/>
              </a:ext>
            </a:extLst>
          </xdr:cNvPr>
          <xdr:cNvCxnSpPr/>
        </xdr:nvCxnSpPr>
        <xdr:spPr>
          <a:xfrm flipH="1">
            <a:off x="2909888" y="83081813"/>
            <a:ext cx="1300164" cy="20431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6" name="Straight Connector 2655">
            <a:extLst>
              <a:ext uri="{FF2B5EF4-FFF2-40B4-BE49-F238E27FC236}">
                <a16:creationId xmlns:a16="http://schemas.microsoft.com/office/drawing/2014/main" id="{1F5108C7-7D58-42FE-AFD4-7171D77B3D2D}"/>
              </a:ext>
            </a:extLst>
          </xdr:cNvPr>
          <xdr:cNvCxnSpPr/>
        </xdr:nvCxnSpPr>
        <xdr:spPr>
          <a:xfrm flipH="1" flipV="1">
            <a:off x="1133475" y="83715225"/>
            <a:ext cx="1457325" cy="162877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7" name="Straight Connector 2656">
            <a:extLst>
              <a:ext uri="{FF2B5EF4-FFF2-40B4-BE49-F238E27FC236}">
                <a16:creationId xmlns:a16="http://schemas.microsoft.com/office/drawing/2014/main" id="{5B9F3770-77C4-4381-864B-CF157D813651}"/>
              </a:ext>
            </a:extLst>
          </xdr:cNvPr>
          <xdr:cNvCxnSpPr/>
        </xdr:nvCxnSpPr>
        <xdr:spPr>
          <a:xfrm flipH="1">
            <a:off x="2914650" y="83715225"/>
            <a:ext cx="1457326" cy="16192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8" name="Straight Connector 2657">
            <a:extLst>
              <a:ext uri="{FF2B5EF4-FFF2-40B4-BE49-F238E27FC236}">
                <a16:creationId xmlns:a16="http://schemas.microsoft.com/office/drawing/2014/main" id="{253D02DA-D3E1-48B0-9981-766DD65717A0}"/>
              </a:ext>
            </a:extLst>
          </xdr:cNvPr>
          <xdr:cNvCxnSpPr/>
        </xdr:nvCxnSpPr>
        <xdr:spPr>
          <a:xfrm flipH="1" flipV="1">
            <a:off x="1133475" y="84305775"/>
            <a:ext cx="1462088" cy="120491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9" name="Straight Connector 2658">
            <a:extLst>
              <a:ext uri="{FF2B5EF4-FFF2-40B4-BE49-F238E27FC236}">
                <a16:creationId xmlns:a16="http://schemas.microsoft.com/office/drawing/2014/main" id="{4A46C27D-23F5-4707-82D5-CB6FC45D63ED}"/>
              </a:ext>
            </a:extLst>
          </xdr:cNvPr>
          <xdr:cNvCxnSpPr/>
        </xdr:nvCxnSpPr>
        <xdr:spPr>
          <a:xfrm flipH="1">
            <a:off x="2909888" y="84329588"/>
            <a:ext cx="1466850" cy="118586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0" name="Straight Connector 2659">
            <a:extLst>
              <a:ext uri="{FF2B5EF4-FFF2-40B4-BE49-F238E27FC236}">
                <a16:creationId xmlns:a16="http://schemas.microsoft.com/office/drawing/2014/main" id="{65E8F89D-01C0-46D2-A4BA-80AEBF85A119}"/>
              </a:ext>
            </a:extLst>
          </xdr:cNvPr>
          <xdr:cNvCxnSpPr/>
        </xdr:nvCxnSpPr>
        <xdr:spPr>
          <a:xfrm flipH="1" flipV="1">
            <a:off x="1133475" y="84820126"/>
            <a:ext cx="1462088" cy="90963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1" name="Straight Connector 2660">
            <a:extLst>
              <a:ext uri="{FF2B5EF4-FFF2-40B4-BE49-F238E27FC236}">
                <a16:creationId xmlns:a16="http://schemas.microsoft.com/office/drawing/2014/main" id="{0581B471-7284-46B9-94AE-4B500ED54D1F}"/>
              </a:ext>
            </a:extLst>
          </xdr:cNvPr>
          <xdr:cNvCxnSpPr/>
        </xdr:nvCxnSpPr>
        <xdr:spPr>
          <a:xfrm flipH="1">
            <a:off x="2914650" y="84829650"/>
            <a:ext cx="1457325" cy="8953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2" name="Straight Connector 2661">
            <a:extLst>
              <a:ext uri="{FF2B5EF4-FFF2-40B4-BE49-F238E27FC236}">
                <a16:creationId xmlns:a16="http://schemas.microsoft.com/office/drawing/2014/main" id="{642CB355-DBDD-4657-A157-8F7D2ED124F7}"/>
              </a:ext>
            </a:extLst>
          </xdr:cNvPr>
          <xdr:cNvCxnSpPr/>
        </xdr:nvCxnSpPr>
        <xdr:spPr>
          <a:xfrm flipH="1" flipV="1">
            <a:off x="1133475" y="85305901"/>
            <a:ext cx="1457325" cy="6619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3" name="Straight Connector 2662">
            <a:extLst>
              <a:ext uri="{FF2B5EF4-FFF2-40B4-BE49-F238E27FC236}">
                <a16:creationId xmlns:a16="http://schemas.microsoft.com/office/drawing/2014/main" id="{2B40B75C-4392-4CB7-AFB3-1B938E57E83B}"/>
              </a:ext>
            </a:extLst>
          </xdr:cNvPr>
          <xdr:cNvCxnSpPr/>
        </xdr:nvCxnSpPr>
        <xdr:spPr>
          <a:xfrm flipH="1">
            <a:off x="2909888" y="85324950"/>
            <a:ext cx="1466851" cy="64293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4" name="Straight Connector 2663">
            <a:extLst>
              <a:ext uri="{FF2B5EF4-FFF2-40B4-BE49-F238E27FC236}">
                <a16:creationId xmlns:a16="http://schemas.microsoft.com/office/drawing/2014/main" id="{A39B6F59-F731-4BA3-97BD-E2CA9381D32D}"/>
              </a:ext>
            </a:extLst>
          </xdr:cNvPr>
          <xdr:cNvCxnSpPr/>
        </xdr:nvCxnSpPr>
        <xdr:spPr>
          <a:xfrm flipH="1" flipV="1">
            <a:off x="1133475" y="85767863"/>
            <a:ext cx="1462088" cy="4810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5" name="Straight Connector 2664">
            <a:extLst>
              <a:ext uri="{FF2B5EF4-FFF2-40B4-BE49-F238E27FC236}">
                <a16:creationId xmlns:a16="http://schemas.microsoft.com/office/drawing/2014/main" id="{66C15DD3-504C-4E88-ACB6-5E7815004E95}"/>
              </a:ext>
            </a:extLst>
          </xdr:cNvPr>
          <xdr:cNvCxnSpPr/>
        </xdr:nvCxnSpPr>
        <xdr:spPr>
          <a:xfrm flipH="1">
            <a:off x="2914650" y="85777388"/>
            <a:ext cx="1457327" cy="4762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6" name="Straight Connector 2665">
            <a:extLst>
              <a:ext uri="{FF2B5EF4-FFF2-40B4-BE49-F238E27FC236}">
                <a16:creationId xmlns:a16="http://schemas.microsoft.com/office/drawing/2014/main" id="{C48715CE-0899-4E7B-8E15-CAF19920C2A3}"/>
              </a:ext>
            </a:extLst>
          </xdr:cNvPr>
          <xdr:cNvCxnSpPr/>
        </xdr:nvCxnSpPr>
        <xdr:spPr>
          <a:xfrm>
            <a:off x="1066799" y="88363425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7" name="Straight Connector 2666">
            <a:extLst>
              <a:ext uri="{FF2B5EF4-FFF2-40B4-BE49-F238E27FC236}">
                <a16:creationId xmlns:a16="http://schemas.microsoft.com/office/drawing/2014/main" id="{8DAB219F-2768-4B5D-A525-F1F12B7226F2}"/>
              </a:ext>
            </a:extLst>
          </xdr:cNvPr>
          <xdr:cNvCxnSpPr/>
        </xdr:nvCxnSpPr>
        <xdr:spPr>
          <a:xfrm>
            <a:off x="1133475" y="87549038"/>
            <a:ext cx="0" cy="1166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8" name="Straight Connector 2667">
            <a:extLst>
              <a:ext uri="{FF2B5EF4-FFF2-40B4-BE49-F238E27FC236}">
                <a16:creationId xmlns:a16="http://schemas.microsoft.com/office/drawing/2014/main" id="{B1F72284-A7FC-43C9-BE4A-BE9F0AC4F5CB}"/>
              </a:ext>
            </a:extLst>
          </xdr:cNvPr>
          <xdr:cNvCxnSpPr/>
        </xdr:nvCxnSpPr>
        <xdr:spPr>
          <a:xfrm flipH="1">
            <a:off x="1090613" y="883253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9" name="Straight Connector 2668">
            <a:extLst>
              <a:ext uri="{FF2B5EF4-FFF2-40B4-BE49-F238E27FC236}">
                <a16:creationId xmlns:a16="http://schemas.microsoft.com/office/drawing/2014/main" id="{60A18561-B0E8-4EE4-9865-51F5A5333489}"/>
              </a:ext>
            </a:extLst>
          </xdr:cNvPr>
          <xdr:cNvCxnSpPr/>
        </xdr:nvCxnSpPr>
        <xdr:spPr>
          <a:xfrm>
            <a:off x="4371975" y="87558563"/>
            <a:ext cx="0" cy="11763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0" name="Straight Connector 2669">
            <a:extLst>
              <a:ext uri="{FF2B5EF4-FFF2-40B4-BE49-F238E27FC236}">
                <a16:creationId xmlns:a16="http://schemas.microsoft.com/office/drawing/2014/main" id="{533D3771-0E34-49E0-8285-BBC7041B07F0}"/>
              </a:ext>
            </a:extLst>
          </xdr:cNvPr>
          <xdr:cNvCxnSpPr/>
        </xdr:nvCxnSpPr>
        <xdr:spPr>
          <a:xfrm flipH="1">
            <a:off x="4329113" y="8832532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1" name="Straight Connector 2670">
            <a:extLst>
              <a:ext uri="{FF2B5EF4-FFF2-40B4-BE49-F238E27FC236}">
                <a16:creationId xmlns:a16="http://schemas.microsoft.com/office/drawing/2014/main" id="{EDC2171D-5D1F-442B-8BB2-634953FF79B0}"/>
              </a:ext>
            </a:extLst>
          </xdr:cNvPr>
          <xdr:cNvCxnSpPr/>
        </xdr:nvCxnSpPr>
        <xdr:spPr>
          <a:xfrm flipH="1">
            <a:off x="2709862" y="8832532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2" name="Straight Connector 2671">
            <a:extLst>
              <a:ext uri="{FF2B5EF4-FFF2-40B4-BE49-F238E27FC236}">
                <a16:creationId xmlns:a16="http://schemas.microsoft.com/office/drawing/2014/main" id="{D66FC401-87F8-437F-A24F-637A655F1F44}"/>
              </a:ext>
            </a:extLst>
          </xdr:cNvPr>
          <xdr:cNvCxnSpPr/>
        </xdr:nvCxnSpPr>
        <xdr:spPr>
          <a:xfrm>
            <a:off x="1066800" y="87791925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3" name="Straight Connector 2672">
            <a:extLst>
              <a:ext uri="{FF2B5EF4-FFF2-40B4-BE49-F238E27FC236}">
                <a16:creationId xmlns:a16="http://schemas.microsoft.com/office/drawing/2014/main" id="{EB02432B-8F33-43E3-86CE-D893CB8A753E}"/>
              </a:ext>
            </a:extLst>
          </xdr:cNvPr>
          <xdr:cNvCxnSpPr/>
        </xdr:nvCxnSpPr>
        <xdr:spPr>
          <a:xfrm>
            <a:off x="2590800" y="8756332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4" name="Straight Connector 2673">
            <a:extLst>
              <a:ext uri="{FF2B5EF4-FFF2-40B4-BE49-F238E27FC236}">
                <a16:creationId xmlns:a16="http://schemas.microsoft.com/office/drawing/2014/main" id="{32F95ED0-7439-42FE-A2CA-A0472E3FAFDB}"/>
              </a:ext>
            </a:extLst>
          </xdr:cNvPr>
          <xdr:cNvCxnSpPr/>
        </xdr:nvCxnSpPr>
        <xdr:spPr>
          <a:xfrm flipH="1">
            <a:off x="2543175" y="87749062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5" name="Straight Connector 2674">
            <a:extLst>
              <a:ext uri="{FF2B5EF4-FFF2-40B4-BE49-F238E27FC236}">
                <a16:creationId xmlns:a16="http://schemas.microsoft.com/office/drawing/2014/main" id="{DF4694BB-870B-4293-9ACC-E714CF61D873}"/>
              </a:ext>
            </a:extLst>
          </xdr:cNvPr>
          <xdr:cNvCxnSpPr/>
        </xdr:nvCxnSpPr>
        <xdr:spPr>
          <a:xfrm>
            <a:off x="2914650" y="87544275"/>
            <a:ext cx="0" cy="3190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6" name="Straight Connector 2675">
            <a:extLst>
              <a:ext uri="{FF2B5EF4-FFF2-40B4-BE49-F238E27FC236}">
                <a16:creationId xmlns:a16="http://schemas.microsoft.com/office/drawing/2014/main" id="{81EC5A9F-4B7F-4EEC-BA55-59A653BAC175}"/>
              </a:ext>
            </a:extLst>
          </xdr:cNvPr>
          <xdr:cNvCxnSpPr/>
        </xdr:nvCxnSpPr>
        <xdr:spPr>
          <a:xfrm flipH="1">
            <a:off x="2867025" y="8774906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7" name="Straight Connector 2676">
            <a:extLst>
              <a:ext uri="{FF2B5EF4-FFF2-40B4-BE49-F238E27FC236}">
                <a16:creationId xmlns:a16="http://schemas.microsoft.com/office/drawing/2014/main" id="{3DCFC1E1-FBA2-4D1F-8E13-E2A3CAFC6EA5}"/>
              </a:ext>
            </a:extLst>
          </xdr:cNvPr>
          <xdr:cNvCxnSpPr/>
        </xdr:nvCxnSpPr>
        <xdr:spPr>
          <a:xfrm flipH="1">
            <a:off x="3195645" y="86539391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8" name="Straight Connector 2677">
            <a:extLst>
              <a:ext uri="{FF2B5EF4-FFF2-40B4-BE49-F238E27FC236}">
                <a16:creationId xmlns:a16="http://schemas.microsoft.com/office/drawing/2014/main" id="{11B041C8-7AC6-499F-B4B7-A437C573470A}"/>
              </a:ext>
            </a:extLst>
          </xdr:cNvPr>
          <xdr:cNvCxnSpPr/>
        </xdr:nvCxnSpPr>
        <xdr:spPr>
          <a:xfrm>
            <a:off x="1828800" y="87429986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9" name="Straight Connector 2678">
            <a:extLst>
              <a:ext uri="{FF2B5EF4-FFF2-40B4-BE49-F238E27FC236}">
                <a16:creationId xmlns:a16="http://schemas.microsoft.com/office/drawing/2014/main" id="{CCC477C5-1256-46FA-AD88-21517C007326}"/>
              </a:ext>
            </a:extLst>
          </xdr:cNvPr>
          <xdr:cNvCxnSpPr/>
        </xdr:nvCxnSpPr>
        <xdr:spPr>
          <a:xfrm>
            <a:off x="1890712" y="87429987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0" name="Straight Connector 2679">
            <a:extLst>
              <a:ext uri="{FF2B5EF4-FFF2-40B4-BE49-F238E27FC236}">
                <a16:creationId xmlns:a16="http://schemas.microsoft.com/office/drawing/2014/main" id="{96F63322-C409-4F2A-9B3C-375B1A9E6A0C}"/>
              </a:ext>
            </a:extLst>
          </xdr:cNvPr>
          <xdr:cNvCxnSpPr/>
        </xdr:nvCxnSpPr>
        <xdr:spPr>
          <a:xfrm flipH="1">
            <a:off x="1090613" y="87753817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1" name="Straight Connector 2680">
            <a:extLst>
              <a:ext uri="{FF2B5EF4-FFF2-40B4-BE49-F238E27FC236}">
                <a16:creationId xmlns:a16="http://schemas.microsoft.com/office/drawing/2014/main" id="{7AF75ED6-47E8-4E84-AE35-77AF3D4163DA}"/>
              </a:ext>
            </a:extLst>
          </xdr:cNvPr>
          <xdr:cNvCxnSpPr/>
        </xdr:nvCxnSpPr>
        <xdr:spPr>
          <a:xfrm>
            <a:off x="1857375" y="87934800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2" name="Straight Connector 2681">
            <a:extLst>
              <a:ext uri="{FF2B5EF4-FFF2-40B4-BE49-F238E27FC236}">
                <a16:creationId xmlns:a16="http://schemas.microsoft.com/office/drawing/2014/main" id="{AF5D2BE9-3819-4D7B-AA84-BFE2B8A1AA91}"/>
              </a:ext>
            </a:extLst>
          </xdr:cNvPr>
          <xdr:cNvCxnSpPr/>
        </xdr:nvCxnSpPr>
        <xdr:spPr>
          <a:xfrm>
            <a:off x="3648075" y="8782526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3" name="Straight Connector 2682">
            <a:extLst>
              <a:ext uri="{FF2B5EF4-FFF2-40B4-BE49-F238E27FC236}">
                <a16:creationId xmlns:a16="http://schemas.microsoft.com/office/drawing/2014/main" id="{E8A7274A-9E1F-48AB-AB3F-CA7229DE5DCE}"/>
              </a:ext>
            </a:extLst>
          </xdr:cNvPr>
          <xdr:cNvCxnSpPr/>
        </xdr:nvCxnSpPr>
        <xdr:spPr>
          <a:xfrm flipH="1">
            <a:off x="3605212" y="88039584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4" name="Straight Connector 2683">
            <a:extLst>
              <a:ext uri="{FF2B5EF4-FFF2-40B4-BE49-F238E27FC236}">
                <a16:creationId xmlns:a16="http://schemas.microsoft.com/office/drawing/2014/main" id="{484991C8-5B9F-47B7-B2A6-70FB7DDCF44F}"/>
              </a:ext>
            </a:extLst>
          </xdr:cNvPr>
          <xdr:cNvCxnSpPr/>
        </xdr:nvCxnSpPr>
        <xdr:spPr>
          <a:xfrm flipV="1">
            <a:off x="1133475" y="82438875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5" name="Straight Connector 2684">
            <a:extLst>
              <a:ext uri="{FF2B5EF4-FFF2-40B4-BE49-F238E27FC236}">
                <a16:creationId xmlns:a16="http://schemas.microsoft.com/office/drawing/2014/main" id="{469E9F99-ACDC-4A89-89AF-6001E526714C}"/>
              </a:ext>
            </a:extLst>
          </xdr:cNvPr>
          <xdr:cNvCxnSpPr/>
        </xdr:nvCxnSpPr>
        <xdr:spPr>
          <a:xfrm>
            <a:off x="1062038" y="8279130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6" name="Straight Connector 2685">
            <a:extLst>
              <a:ext uri="{FF2B5EF4-FFF2-40B4-BE49-F238E27FC236}">
                <a16:creationId xmlns:a16="http://schemas.microsoft.com/office/drawing/2014/main" id="{1C8C6BFF-D756-4D1F-905F-AA0CA64CDC0F}"/>
              </a:ext>
            </a:extLst>
          </xdr:cNvPr>
          <xdr:cNvCxnSpPr/>
        </xdr:nvCxnSpPr>
        <xdr:spPr>
          <a:xfrm flipH="1">
            <a:off x="1090607" y="827579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7" name="Straight Connector 2686">
            <a:extLst>
              <a:ext uri="{FF2B5EF4-FFF2-40B4-BE49-F238E27FC236}">
                <a16:creationId xmlns:a16="http://schemas.microsoft.com/office/drawing/2014/main" id="{FC150C2B-E5CF-4D91-8D75-D5F86A7E9C5D}"/>
              </a:ext>
            </a:extLst>
          </xdr:cNvPr>
          <xdr:cNvCxnSpPr/>
        </xdr:nvCxnSpPr>
        <xdr:spPr>
          <a:xfrm>
            <a:off x="1281118" y="8272462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8" name="Straight Connector 2687">
            <a:extLst>
              <a:ext uri="{FF2B5EF4-FFF2-40B4-BE49-F238E27FC236}">
                <a16:creationId xmlns:a16="http://schemas.microsoft.com/office/drawing/2014/main" id="{23E18E7D-5F00-4DE0-BCCB-D5333A3CAAD1}"/>
              </a:ext>
            </a:extLst>
          </xdr:cNvPr>
          <xdr:cNvCxnSpPr/>
        </xdr:nvCxnSpPr>
        <xdr:spPr>
          <a:xfrm flipH="1">
            <a:off x="1233494" y="827532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9" name="Straight Connector 2688">
            <a:extLst>
              <a:ext uri="{FF2B5EF4-FFF2-40B4-BE49-F238E27FC236}">
                <a16:creationId xmlns:a16="http://schemas.microsoft.com/office/drawing/2014/main" id="{CF47BC14-AF5B-419E-A655-93E36178BBD7}"/>
              </a:ext>
            </a:extLst>
          </xdr:cNvPr>
          <xdr:cNvCxnSpPr/>
        </xdr:nvCxnSpPr>
        <xdr:spPr>
          <a:xfrm>
            <a:off x="2752726" y="82424588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0" name="Straight Connector 2689">
            <a:extLst>
              <a:ext uri="{FF2B5EF4-FFF2-40B4-BE49-F238E27FC236}">
                <a16:creationId xmlns:a16="http://schemas.microsoft.com/office/drawing/2014/main" id="{4BC58201-14DA-4F2A-83FC-5654A2744A4C}"/>
              </a:ext>
            </a:extLst>
          </xdr:cNvPr>
          <xdr:cNvCxnSpPr/>
        </xdr:nvCxnSpPr>
        <xdr:spPr>
          <a:xfrm>
            <a:off x="4205291" y="8271986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1" name="Straight Connector 2690">
            <a:extLst>
              <a:ext uri="{FF2B5EF4-FFF2-40B4-BE49-F238E27FC236}">
                <a16:creationId xmlns:a16="http://schemas.microsoft.com/office/drawing/2014/main" id="{6FF83C8D-8F6F-42F6-BBE1-66E50F71D457}"/>
              </a:ext>
            </a:extLst>
          </xdr:cNvPr>
          <xdr:cNvCxnSpPr/>
        </xdr:nvCxnSpPr>
        <xdr:spPr>
          <a:xfrm flipH="1">
            <a:off x="4162427" y="8274843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2" name="Straight Connector 2691">
            <a:extLst>
              <a:ext uri="{FF2B5EF4-FFF2-40B4-BE49-F238E27FC236}">
                <a16:creationId xmlns:a16="http://schemas.microsoft.com/office/drawing/2014/main" id="{9242B679-38F4-425C-87A3-60262933AA0B}"/>
              </a:ext>
            </a:extLst>
          </xdr:cNvPr>
          <xdr:cNvCxnSpPr/>
        </xdr:nvCxnSpPr>
        <xdr:spPr>
          <a:xfrm flipV="1">
            <a:off x="4371975" y="82434112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3" name="Straight Connector 2692">
            <a:extLst>
              <a:ext uri="{FF2B5EF4-FFF2-40B4-BE49-F238E27FC236}">
                <a16:creationId xmlns:a16="http://schemas.microsoft.com/office/drawing/2014/main" id="{80C1C9C4-0DC7-4851-8E14-A4D7B6A05301}"/>
              </a:ext>
            </a:extLst>
          </xdr:cNvPr>
          <xdr:cNvCxnSpPr/>
        </xdr:nvCxnSpPr>
        <xdr:spPr>
          <a:xfrm flipH="1">
            <a:off x="4329113" y="827484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4" name="Straight Connector 2693">
            <a:extLst>
              <a:ext uri="{FF2B5EF4-FFF2-40B4-BE49-F238E27FC236}">
                <a16:creationId xmlns:a16="http://schemas.microsoft.com/office/drawing/2014/main" id="{1837BB8E-EA7F-4630-8944-39C5D9820844}"/>
              </a:ext>
            </a:extLst>
          </xdr:cNvPr>
          <xdr:cNvCxnSpPr/>
        </xdr:nvCxnSpPr>
        <xdr:spPr>
          <a:xfrm>
            <a:off x="1057275" y="8250555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5" name="Straight Connector 2694">
            <a:extLst>
              <a:ext uri="{FF2B5EF4-FFF2-40B4-BE49-F238E27FC236}">
                <a16:creationId xmlns:a16="http://schemas.microsoft.com/office/drawing/2014/main" id="{8C434743-EDF2-4A97-A479-D74A498D6B8D}"/>
              </a:ext>
            </a:extLst>
          </xdr:cNvPr>
          <xdr:cNvCxnSpPr/>
        </xdr:nvCxnSpPr>
        <xdr:spPr>
          <a:xfrm flipH="1">
            <a:off x="1085850" y="824674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6" name="Straight Connector 2695">
            <a:extLst>
              <a:ext uri="{FF2B5EF4-FFF2-40B4-BE49-F238E27FC236}">
                <a16:creationId xmlns:a16="http://schemas.microsoft.com/office/drawing/2014/main" id="{F81B3867-66F0-473C-A920-C229BA3C32F6}"/>
              </a:ext>
            </a:extLst>
          </xdr:cNvPr>
          <xdr:cNvCxnSpPr/>
        </xdr:nvCxnSpPr>
        <xdr:spPr>
          <a:xfrm flipH="1">
            <a:off x="4324350" y="824626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7" name="Straight Connector 2696">
            <a:extLst>
              <a:ext uri="{FF2B5EF4-FFF2-40B4-BE49-F238E27FC236}">
                <a16:creationId xmlns:a16="http://schemas.microsoft.com/office/drawing/2014/main" id="{E154AF9F-3D01-4D0F-B03A-679DE64CFFF3}"/>
              </a:ext>
            </a:extLst>
          </xdr:cNvPr>
          <xdr:cNvCxnSpPr/>
        </xdr:nvCxnSpPr>
        <xdr:spPr>
          <a:xfrm flipH="1">
            <a:off x="2705101" y="824626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8" name="Straight Connector 2697">
            <a:extLst>
              <a:ext uri="{FF2B5EF4-FFF2-40B4-BE49-F238E27FC236}">
                <a16:creationId xmlns:a16="http://schemas.microsoft.com/office/drawing/2014/main" id="{7233F264-AB31-4E2A-8A70-B83110741255}"/>
              </a:ext>
            </a:extLst>
          </xdr:cNvPr>
          <xdr:cNvCxnSpPr/>
        </xdr:nvCxnSpPr>
        <xdr:spPr>
          <a:xfrm flipH="1">
            <a:off x="2705101" y="827532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9" name="Straight Connector 2698">
            <a:extLst>
              <a:ext uri="{FF2B5EF4-FFF2-40B4-BE49-F238E27FC236}">
                <a16:creationId xmlns:a16="http://schemas.microsoft.com/office/drawing/2014/main" id="{F001FADB-A8B6-406D-A5C6-EFC4AF688E9D}"/>
              </a:ext>
            </a:extLst>
          </xdr:cNvPr>
          <xdr:cNvCxnSpPr/>
        </xdr:nvCxnSpPr>
        <xdr:spPr>
          <a:xfrm flipH="1">
            <a:off x="409575" y="8307705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0" name="Straight Connector 2699">
            <a:extLst>
              <a:ext uri="{FF2B5EF4-FFF2-40B4-BE49-F238E27FC236}">
                <a16:creationId xmlns:a16="http://schemas.microsoft.com/office/drawing/2014/main" id="{F8344AC6-AF35-4FEF-BE90-D80FE9FC2CE5}"/>
              </a:ext>
            </a:extLst>
          </xdr:cNvPr>
          <xdr:cNvCxnSpPr/>
        </xdr:nvCxnSpPr>
        <xdr:spPr>
          <a:xfrm>
            <a:off x="809626" y="83010375"/>
            <a:ext cx="0" cy="4572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1" name="Straight Connector 2700">
            <a:extLst>
              <a:ext uri="{FF2B5EF4-FFF2-40B4-BE49-F238E27FC236}">
                <a16:creationId xmlns:a16="http://schemas.microsoft.com/office/drawing/2014/main" id="{F7008E6F-4C26-4C66-B0E0-366ED9BA6AA2}"/>
              </a:ext>
            </a:extLst>
          </xdr:cNvPr>
          <xdr:cNvCxnSpPr/>
        </xdr:nvCxnSpPr>
        <xdr:spPr>
          <a:xfrm flipH="1">
            <a:off x="766763" y="8303895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2" name="Straight Connector 2701">
            <a:extLst>
              <a:ext uri="{FF2B5EF4-FFF2-40B4-BE49-F238E27FC236}">
                <a16:creationId xmlns:a16="http://schemas.microsoft.com/office/drawing/2014/main" id="{67239569-F94D-4D9D-8C9F-98FA47C845B0}"/>
              </a:ext>
            </a:extLst>
          </xdr:cNvPr>
          <xdr:cNvCxnSpPr/>
        </xdr:nvCxnSpPr>
        <xdr:spPr>
          <a:xfrm flipH="1">
            <a:off x="723900" y="8371521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3" name="Straight Connector 2702">
            <a:extLst>
              <a:ext uri="{FF2B5EF4-FFF2-40B4-BE49-F238E27FC236}">
                <a16:creationId xmlns:a16="http://schemas.microsoft.com/office/drawing/2014/main" id="{6DBF2240-92CB-4A58-87F5-F8BDFC5B903C}"/>
              </a:ext>
            </a:extLst>
          </xdr:cNvPr>
          <xdr:cNvCxnSpPr/>
        </xdr:nvCxnSpPr>
        <xdr:spPr>
          <a:xfrm flipH="1">
            <a:off x="762000" y="8367712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4" name="Straight Connector 2703">
            <a:extLst>
              <a:ext uri="{FF2B5EF4-FFF2-40B4-BE49-F238E27FC236}">
                <a16:creationId xmlns:a16="http://schemas.microsoft.com/office/drawing/2014/main" id="{7353FA79-8CF1-4046-BDC9-B616E3ABF54C}"/>
              </a:ext>
            </a:extLst>
          </xdr:cNvPr>
          <xdr:cNvCxnSpPr/>
        </xdr:nvCxnSpPr>
        <xdr:spPr>
          <a:xfrm flipH="1">
            <a:off x="723900" y="8482488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5" name="Straight Connector 2704">
            <a:extLst>
              <a:ext uri="{FF2B5EF4-FFF2-40B4-BE49-F238E27FC236}">
                <a16:creationId xmlns:a16="http://schemas.microsoft.com/office/drawing/2014/main" id="{35B650A3-D0A7-4964-9BCA-60D4962D77D7}"/>
              </a:ext>
            </a:extLst>
          </xdr:cNvPr>
          <xdr:cNvCxnSpPr/>
        </xdr:nvCxnSpPr>
        <xdr:spPr>
          <a:xfrm flipH="1">
            <a:off x="762000" y="8478679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6" name="Straight Connector 2705">
            <a:extLst>
              <a:ext uri="{FF2B5EF4-FFF2-40B4-BE49-F238E27FC236}">
                <a16:creationId xmlns:a16="http://schemas.microsoft.com/office/drawing/2014/main" id="{429143ED-CA18-4C42-B373-5ACBAEF7B958}"/>
              </a:ext>
            </a:extLst>
          </xdr:cNvPr>
          <xdr:cNvCxnSpPr/>
        </xdr:nvCxnSpPr>
        <xdr:spPr>
          <a:xfrm flipH="1">
            <a:off x="723900" y="8530590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7" name="Straight Connector 2706">
            <a:extLst>
              <a:ext uri="{FF2B5EF4-FFF2-40B4-BE49-F238E27FC236}">
                <a16:creationId xmlns:a16="http://schemas.microsoft.com/office/drawing/2014/main" id="{BDB4ADD8-CBDE-4CF4-8C4E-7E6DE64B3A45}"/>
              </a:ext>
            </a:extLst>
          </xdr:cNvPr>
          <xdr:cNvCxnSpPr/>
        </xdr:nvCxnSpPr>
        <xdr:spPr>
          <a:xfrm flipH="1">
            <a:off x="762000" y="8526780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8" name="Straight Connector 2707">
            <a:extLst>
              <a:ext uri="{FF2B5EF4-FFF2-40B4-BE49-F238E27FC236}">
                <a16:creationId xmlns:a16="http://schemas.microsoft.com/office/drawing/2014/main" id="{CA091E9B-8F73-4837-A44D-8423764C0153}"/>
              </a:ext>
            </a:extLst>
          </xdr:cNvPr>
          <xdr:cNvCxnSpPr/>
        </xdr:nvCxnSpPr>
        <xdr:spPr>
          <a:xfrm flipH="1">
            <a:off x="728663" y="8577262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9" name="Straight Connector 2708">
            <a:extLst>
              <a:ext uri="{FF2B5EF4-FFF2-40B4-BE49-F238E27FC236}">
                <a16:creationId xmlns:a16="http://schemas.microsoft.com/office/drawing/2014/main" id="{85DD2B05-8D51-4C56-A478-B72E13409CB5}"/>
              </a:ext>
            </a:extLst>
          </xdr:cNvPr>
          <xdr:cNvCxnSpPr/>
        </xdr:nvCxnSpPr>
        <xdr:spPr>
          <a:xfrm flipH="1">
            <a:off x="766763" y="8573453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0" name="Straight Connector 2709">
            <a:extLst>
              <a:ext uri="{FF2B5EF4-FFF2-40B4-BE49-F238E27FC236}">
                <a16:creationId xmlns:a16="http://schemas.microsoft.com/office/drawing/2014/main" id="{55B7293A-248D-45D2-928E-B36D4D95C358}"/>
              </a:ext>
            </a:extLst>
          </xdr:cNvPr>
          <xdr:cNvCxnSpPr/>
        </xdr:nvCxnSpPr>
        <xdr:spPr>
          <a:xfrm flipH="1">
            <a:off x="395288" y="87506178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1" name="Straight Connector 2710">
            <a:extLst>
              <a:ext uri="{FF2B5EF4-FFF2-40B4-BE49-F238E27FC236}">
                <a16:creationId xmlns:a16="http://schemas.microsoft.com/office/drawing/2014/main" id="{6EA8600B-F3DB-420F-B83E-524D8800E1DC}"/>
              </a:ext>
            </a:extLst>
          </xdr:cNvPr>
          <xdr:cNvCxnSpPr/>
        </xdr:nvCxnSpPr>
        <xdr:spPr>
          <a:xfrm flipH="1">
            <a:off x="766764" y="8746807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2" name="Straight Connector 2711">
            <a:extLst>
              <a:ext uri="{FF2B5EF4-FFF2-40B4-BE49-F238E27FC236}">
                <a16:creationId xmlns:a16="http://schemas.microsoft.com/office/drawing/2014/main" id="{4714992D-E8A7-4CCC-BA50-A1C3F7A89E6C}"/>
              </a:ext>
            </a:extLst>
          </xdr:cNvPr>
          <xdr:cNvCxnSpPr/>
        </xdr:nvCxnSpPr>
        <xdr:spPr>
          <a:xfrm>
            <a:off x="485776" y="83005613"/>
            <a:ext cx="0" cy="459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3" name="Straight Connector 2712">
            <a:extLst>
              <a:ext uri="{FF2B5EF4-FFF2-40B4-BE49-F238E27FC236}">
                <a16:creationId xmlns:a16="http://schemas.microsoft.com/office/drawing/2014/main" id="{D63CACF6-183E-41B3-9A21-24C7C086B1B8}"/>
              </a:ext>
            </a:extLst>
          </xdr:cNvPr>
          <xdr:cNvCxnSpPr/>
        </xdr:nvCxnSpPr>
        <xdr:spPr>
          <a:xfrm flipH="1">
            <a:off x="442913" y="8303418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4" name="Straight Connector 2713">
            <a:extLst>
              <a:ext uri="{FF2B5EF4-FFF2-40B4-BE49-F238E27FC236}">
                <a16:creationId xmlns:a16="http://schemas.microsoft.com/office/drawing/2014/main" id="{E71B69FB-F8DB-475C-861C-FDC20FBA3DF6}"/>
              </a:ext>
            </a:extLst>
          </xdr:cNvPr>
          <xdr:cNvCxnSpPr/>
        </xdr:nvCxnSpPr>
        <xdr:spPr>
          <a:xfrm flipH="1">
            <a:off x="442914" y="8746331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5" name="Straight Connector 2714">
            <a:extLst>
              <a:ext uri="{FF2B5EF4-FFF2-40B4-BE49-F238E27FC236}">
                <a16:creationId xmlns:a16="http://schemas.microsoft.com/office/drawing/2014/main" id="{0CDEBE2B-D564-499C-952E-7ABB4A7038A1}"/>
              </a:ext>
            </a:extLst>
          </xdr:cNvPr>
          <xdr:cNvCxnSpPr/>
        </xdr:nvCxnSpPr>
        <xdr:spPr>
          <a:xfrm flipH="1">
            <a:off x="723900" y="84301013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6" name="Straight Connector 2715">
            <a:extLst>
              <a:ext uri="{FF2B5EF4-FFF2-40B4-BE49-F238E27FC236}">
                <a16:creationId xmlns:a16="http://schemas.microsoft.com/office/drawing/2014/main" id="{3B9C04AF-12F7-4DC3-8C42-2B2842509907}"/>
              </a:ext>
            </a:extLst>
          </xdr:cNvPr>
          <xdr:cNvCxnSpPr/>
        </xdr:nvCxnSpPr>
        <xdr:spPr>
          <a:xfrm flipH="1">
            <a:off x="762000" y="8426291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7" name="Straight Connector 2716">
            <a:extLst>
              <a:ext uri="{FF2B5EF4-FFF2-40B4-BE49-F238E27FC236}">
                <a16:creationId xmlns:a16="http://schemas.microsoft.com/office/drawing/2014/main" id="{44B1A3EB-90C2-4A5A-A29A-A9FC5A841AFB}"/>
              </a:ext>
            </a:extLst>
          </xdr:cNvPr>
          <xdr:cNvCxnSpPr/>
        </xdr:nvCxnSpPr>
        <xdr:spPr>
          <a:xfrm>
            <a:off x="4695825" y="83000850"/>
            <a:ext cx="0" cy="45720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8" name="Straight Connector 2717">
            <a:extLst>
              <a:ext uri="{FF2B5EF4-FFF2-40B4-BE49-F238E27FC236}">
                <a16:creationId xmlns:a16="http://schemas.microsoft.com/office/drawing/2014/main" id="{41B013B0-20B2-4D3D-8BEB-6FAC3E91D712}"/>
              </a:ext>
            </a:extLst>
          </xdr:cNvPr>
          <xdr:cNvCxnSpPr/>
        </xdr:nvCxnSpPr>
        <xdr:spPr>
          <a:xfrm>
            <a:off x="4414838" y="87506178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9" name="Straight Connector 2718">
            <a:extLst>
              <a:ext uri="{FF2B5EF4-FFF2-40B4-BE49-F238E27FC236}">
                <a16:creationId xmlns:a16="http://schemas.microsoft.com/office/drawing/2014/main" id="{7F0487E6-24B3-4661-A041-42F01B824AF0}"/>
              </a:ext>
            </a:extLst>
          </xdr:cNvPr>
          <xdr:cNvCxnSpPr/>
        </xdr:nvCxnSpPr>
        <xdr:spPr>
          <a:xfrm>
            <a:off x="4410075" y="83077050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0" name="Straight Connector 2719">
            <a:extLst>
              <a:ext uri="{FF2B5EF4-FFF2-40B4-BE49-F238E27FC236}">
                <a16:creationId xmlns:a16="http://schemas.microsoft.com/office/drawing/2014/main" id="{3DB92AE5-42E9-4FF2-8061-8A92D282997A}"/>
              </a:ext>
            </a:extLst>
          </xdr:cNvPr>
          <xdr:cNvCxnSpPr/>
        </xdr:nvCxnSpPr>
        <xdr:spPr>
          <a:xfrm flipH="1">
            <a:off x="4648200" y="8303895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1" name="Straight Connector 2720">
            <a:extLst>
              <a:ext uri="{FF2B5EF4-FFF2-40B4-BE49-F238E27FC236}">
                <a16:creationId xmlns:a16="http://schemas.microsoft.com/office/drawing/2014/main" id="{255423A7-30B2-4574-B83C-C3EAED4EC570}"/>
              </a:ext>
            </a:extLst>
          </xdr:cNvPr>
          <xdr:cNvCxnSpPr/>
        </xdr:nvCxnSpPr>
        <xdr:spPr>
          <a:xfrm flipH="1">
            <a:off x="4648201" y="87463315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2" name="Straight Connector 2721">
            <a:extLst>
              <a:ext uri="{FF2B5EF4-FFF2-40B4-BE49-F238E27FC236}">
                <a16:creationId xmlns:a16="http://schemas.microsoft.com/office/drawing/2014/main" id="{87622E50-707B-41EE-A355-44448C32A8F0}"/>
              </a:ext>
            </a:extLst>
          </xdr:cNvPr>
          <xdr:cNvCxnSpPr/>
        </xdr:nvCxnSpPr>
        <xdr:spPr>
          <a:xfrm>
            <a:off x="3619500" y="84648675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3" name="Straight Connector 2722">
            <a:extLst>
              <a:ext uri="{FF2B5EF4-FFF2-40B4-BE49-F238E27FC236}">
                <a16:creationId xmlns:a16="http://schemas.microsoft.com/office/drawing/2014/main" id="{2BBD066C-3967-495D-93B8-FC846B80BB86}"/>
              </a:ext>
            </a:extLst>
          </xdr:cNvPr>
          <xdr:cNvCxnSpPr/>
        </xdr:nvCxnSpPr>
        <xdr:spPr>
          <a:xfrm flipH="1">
            <a:off x="4652964" y="846058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4" name="Straight Connector 2723">
            <a:extLst>
              <a:ext uri="{FF2B5EF4-FFF2-40B4-BE49-F238E27FC236}">
                <a16:creationId xmlns:a16="http://schemas.microsoft.com/office/drawing/2014/main" id="{1675885A-AC53-4575-BC33-AAEEFD363059}"/>
              </a:ext>
            </a:extLst>
          </xdr:cNvPr>
          <xdr:cNvCxnSpPr/>
        </xdr:nvCxnSpPr>
        <xdr:spPr>
          <a:xfrm>
            <a:off x="3238500" y="84439125"/>
            <a:ext cx="0" cy="3138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5" name="Straight Connector 2724">
            <a:extLst>
              <a:ext uri="{FF2B5EF4-FFF2-40B4-BE49-F238E27FC236}">
                <a16:creationId xmlns:a16="http://schemas.microsoft.com/office/drawing/2014/main" id="{7779FF2C-C7A3-454A-80C1-4BABBE4F5546}"/>
              </a:ext>
            </a:extLst>
          </xdr:cNvPr>
          <xdr:cNvCxnSpPr/>
        </xdr:nvCxnSpPr>
        <xdr:spPr>
          <a:xfrm>
            <a:off x="1138238" y="84815363"/>
            <a:ext cx="1614487" cy="1004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6" name="Straight Connector 2725">
            <a:extLst>
              <a:ext uri="{FF2B5EF4-FFF2-40B4-BE49-F238E27FC236}">
                <a16:creationId xmlns:a16="http://schemas.microsoft.com/office/drawing/2014/main" id="{B28A19BE-F87D-42D1-B4BD-AFC2A2A14BC9}"/>
              </a:ext>
            </a:extLst>
          </xdr:cNvPr>
          <xdr:cNvCxnSpPr/>
        </xdr:nvCxnSpPr>
        <xdr:spPr>
          <a:xfrm flipH="1">
            <a:off x="3186112" y="8445817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7" name="Straight Connector 2726">
            <a:extLst>
              <a:ext uri="{FF2B5EF4-FFF2-40B4-BE49-F238E27FC236}">
                <a16:creationId xmlns:a16="http://schemas.microsoft.com/office/drawing/2014/main" id="{9D2CBFA6-7461-409F-9D17-A7CEFC00A78B}"/>
              </a:ext>
            </a:extLst>
          </xdr:cNvPr>
          <xdr:cNvCxnSpPr/>
        </xdr:nvCxnSpPr>
        <xdr:spPr>
          <a:xfrm flipH="1">
            <a:off x="2614613" y="84215288"/>
            <a:ext cx="2095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8" name="Straight Connector 2727">
            <a:extLst>
              <a:ext uri="{FF2B5EF4-FFF2-40B4-BE49-F238E27FC236}">
                <a16:creationId xmlns:a16="http://schemas.microsoft.com/office/drawing/2014/main" id="{590E289F-B00C-42B9-AE78-EA360F89DB1A}"/>
              </a:ext>
            </a:extLst>
          </xdr:cNvPr>
          <xdr:cNvCxnSpPr/>
        </xdr:nvCxnSpPr>
        <xdr:spPr>
          <a:xfrm>
            <a:off x="2686059" y="84120034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9" name="Straight Connector 2728">
            <a:extLst>
              <a:ext uri="{FF2B5EF4-FFF2-40B4-BE49-F238E27FC236}">
                <a16:creationId xmlns:a16="http://schemas.microsoft.com/office/drawing/2014/main" id="{0FF3F503-73B7-43D5-8B8F-BC0F08729C5E}"/>
              </a:ext>
            </a:extLst>
          </xdr:cNvPr>
          <xdr:cNvCxnSpPr/>
        </xdr:nvCxnSpPr>
        <xdr:spPr>
          <a:xfrm flipH="1">
            <a:off x="2633672" y="84172422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0" name="Straight Connector 2729">
            <a:extLst>
              <a:ext uri="{FF2B5EF4-FFF2-40B4-BE49-F238E27FC236}">
                <a16:creationId xmlns:a16="http://schemas.microsoft.com/office/drawing/2014/main" id="{2A7B66CA-BFD2-4A02-B2F5-4837E8A305F0}"/>
              </a:ext>
            </a:extLst>
          </xdr:cNvPr>
          <xdr:cNvCxnSpPr/>
        </xdr:nvCxnSpPr>
        <xdr:spPr>
          <a:xfrm flipH="1">
            <a:off x="2700338" y="84172425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1" name="Straight Connector 2730">
            <a:extLst>
              <a:ext uri="{FF2B5EF4-FFF2-40B4-BE49-F238E27FC236}">
                <a16:creationId xmlns:a16="http://schemas.microsoft.com/office/drawing/2014/main" id="{2BCC94A2-78AC-49E5-99B1-A2630D0C98A2}"/>
              </a:ext>
            </a:extLst>
          </xdr:cNvPr>
          <xdr:cNvCxnSpPr/>
        </xdr:nvCxnSpPr>
        <xdr:spPr>
          <a:xfrm flipV="1">
            <a:off x="1857375" y="84648677"/>
            <a:ext cx="0" cy="29146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2" name="Straight Connector 2731">
            <a:extLst>
              <a:ext uri="{FF2B5EF4-FFF2-40B4-BE49-F238E27FC236}">
                <a16:creationId xmlns:a16="http://schemas.microsoft.com/office/drawing/2014/main" id="{E9A78199-3494-4652-8D4C-6DB78AA78F72}"/>
              </a:ext>
            </a:extLst>
          </xdr:cNvPr>
          <xdr:cNvCxnSpPr/>
        </xdr:nvCxnSpPr>
        <xdr:spPr>
          <a:xfrm flipV="1">
            <a:off x="3648075" y="84639155"/>
            <a:ext cx="0" cy="2867020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33" name="Arc 2732">
            <a:extLst>
              <a:ext uri="{FF2B5EF4-FFF2-40B4-BE49-F238E27FC236}">
                <a16:creationId xmlns:a16="http://schemas.microsoft.com/office/drawing/2014/main" id="{6D46A716-F5A1-4141-874C-BDC1B97D4C4F}"/>
              </a:ext>
            </a:extLst>
          </xdr:cNvPr>
          <xdr:cNvSpPr/>
        </xdr:nvSpPr>
        <xdr:spPr>
          <a:xfrm rot="16200000">
            <a:off x="1857375" y="83772375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734" name="Straight Connector 2733">
            <a:extLst>
              <a:ext uri="{FF2B5EF4-FFF2-40B4-BE49-F238E27FC236}">
                <a16:creationId xmlns:a16="http://schemas.microsoft.com/office/drawing/2014/main" id="{AFBBC29A-7627-4D25-8143-9E2C25DDC70C}"/>
              </a:ext>
            </a:extLst>
          </xdr:cNvPr>
          <xdr:cNvCxnSpPr/>
        </xdr:nvCxnSpPr>
        <xdr:spPr>
          <a:xfrm>
            <a:off x="1057275" y="88077675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5" name="Straight Connector 2734">
            <a:extLst>
              <a:ext uri="{FF2B5EF4-FFF2-40B4-BE49-F238E27FC236}">
                <a16:creationId xmlns:a16="http://schemas.microsoft.com/office/drawing/2014/main" id="{55485253-FD8D-44ED-BDC0-EA4927C06EF5}"/>
              </a:ext>
            </a:extLst>
          </xdr:cNvPr>
          <xdr:cNvCxnSpPr/>
        </xdr:nvCxnSpPr>
        <xdr:spPr>
          <a:xfrm flipH="1">
            <a:off x="1814513" y="8803481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6" name="Straight Connector 2735">
            <a:extLst>
              <a:ext uri="{FF2B5EF4-FFF2-40B4-BE49-F238E27FC236}">
                <a16:creationId xmlns:a16="http://schemas.microsoft.com/office/drawing/2014/main" id="{E4E46513-BD8D-4B60-B0E4-C69ABB627CA7}"/>
              </a:ext>
            </a:extLst>
          </xdr:cNvPr>
          <xdr:cNvCxnSpPr/>
        </xdr:nvCxnSpPr>
        <xdr:spPr>
          <a:xfrm flipH="1">
            <a:off x="4329114" y="8775382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7" name="Straight Connector 2736">
            <a:extLst>
              <a:ext uri="{FF2B5EF4-FFF2-40B4-BE49-F238E27FC236}">
                <a16:creationId xmlns:a16="http://schemas.microsoft.com/office/drawing/2014/main" id="{7D315761-5512-456E-A803-4AAED7C659E4}"/>
              </a:ext>
            </a:extLst>
          </xdr:cNvPr>
          <xdr:cNvCxnSpPr/>
        </xdr:nvCxnSpPr>
        <xdr:spPr>
          <a:xfrm>
            <a:off x="2443181" y="82719863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8" name="Straight Connector 2737">
            <a:extLst>
              <a:ext uri="{FF2B5EF4-FFF2-40B4-BE49-F238E27FC236}">
                <a16:creationId xmlns:a16="http://schemas.microsoft.com/office/drawing/2014/main" id="{7BCBC602-DF20-405B-AF80-7F978B381291}"/>
              </a:ext>
            </a:extLst>
          </xdr:cNvPr>
          <xdr:cNvCxnSpPr/>
        </xdr:nvCxnSpPr>
        <xdr:spPr>
          <a:xfrm flipH="1">
            <a:off x="2400320" y="827436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9" name="Straight Connector 2738">
            <a:extLst>
              <a:ext uri="{FF2B5EF4-FFF2-40B4-BE49-F238E27FC236}">
                <a16:creationId xmlns:a16="http://schemas.microsoft.com/office/drawing/2014/main" id="{80BE4418-D64A-4A2C-BED4-C5BBAC56119A}"/>
              </a:ext>
            </a:extLst>
          </xdr:cNvPr>
          <xdr:cNvCxnSpPr/>
        </xdr:nvCxnSpPr>
        <xdr:spPr>
          <a:xfrm>
            <a:off x="3076586" y="8272938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0" name="Straight Connector 2739">
            <a:extLst>
              <a:ext uri="{FF2B5EF4-FFF2-40B4-BE49-F238E27FC236}">
                <a16:creationId xmlns:a16="http://schemas.microsoft.com/office/drawing/2014/main" id="{000A5435-CC1A-4CEC-9B6A-1EE634F0716A}"/>
              </a:ext>
            </a:extLst>
          </xdr:cNvPr>
          <xdr:cNvCxnSpPr/>
        </xdr:nvCxnSpPr>
        <xdr:spPr>
          <a:xfrm flipH="1">
            <a:off x="3028962" y="8275319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1" name="Straight Connector 2740">
            <a:extLst>
              <a:ext uri="{FF2B5EF4-FFF2-40B4-BE49-F238E27FC236}">
                <a16:creationId xmlns:a16="http://schemas.microsoft.com/office/drawing/2014/main" id="{E9FFE38F-555D-4D69-8E66-C7AF589B37CC}"/>
              </a:ext>
            </a:extLst>
          </xdr:cNvPr>
          <xdr:cNvCxnSpPr/>
        </xdr:nvCxnSpPr>
        <xdr:spPr>
          <a:xfrm>
            <a:off x="1066799" y="88649174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2" name="Straight Connector 2741">
            <a:extLst>
              <a:ext uri="{FF2B5EF4-FFF2-40B4-BE49-F238E27FC236}">
                <a16:creationId xmlns:a16="http://schemas.microsoft.com/office/drawing/2014/main" id="{F940BA5A-9FE8-4634-B577-A6A9974ABF15}"/>
              </a:ext>
            </a:extLst>
          </xdr:cNvPr>
          <xdr:cNvCxnSpPr/>
        </xdr:nvCxnSpPr>
        <xdr:spPr>
          <a:xfrm flipH="1">
            <a:off x="1090613" y="886110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3" name="Straight Connector 2742">
            <a:extLst>
              <a:ext uri="{FF2B5EF4-FFF2-40B4-BE49-F238E27FC236}">
                <a16:creationId xmlns:a16="http://schemas.microsoft.com/office/drawing/2014/main" id="{AE845FA2-10D2-43B9-9065-432B8FA51B91}"/>
              </a:ext>
            </a:extLst>
          </xdr:cNvPr>
          <xdr:cNvCxnSpPr/>
        </xdr:nvCxnSpPr>
        <xdr:spPr>
          <a:xfrm flipH="1">
            <a:off x="4329113" y="88611073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4" name="Straight Connector 2743">
            <a:extLst>
              <a:ext uri="{FF2B5EF4-FFF2-40B4-BE49-F238E27FC236}">
                <a16:creationId xmlns:a16="http://schemas.microsoft.com/office/drawing/2014/main" id="{F59827D9-1810-4467-861E-25EAB368B74D}"/>
              </a:ext>
            </a:extLst>
          </xdr:cNvPr>
          <xdr:cNvCxnSpPr/>
        </xdr:nvCxnSpPr>
        <xdr:spPr>
          <a:xfrm flipH="1">
            <a:off x="1090612" y="880395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5" name="Straight Connector 2744">
            <a:extLst>
              <a:ext uri="{FF2B5EF4-FFF2-40B4-BE49-F238E27FC236}">
                <a16:creationId xmlns:a16="http://schemas.microsoft.com/office/drawing/2014/main" id="{0D7E18AF-38E6-4BC4-8663-2F031110B6F5}"/>
              </a:ext>
            </a:extLst>
          </xdr:cNvPr>
          <xdr:cNvCxnSpPr/>
        </xdr:nvCxnSpPr>
        <xdr:spPr>
          <a:xfrm flipH="1">
            <a:off x="4329112" y="8803956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6" name="Straight Connector 2745">
            <a:extLst>
              <a:ext uri="{FF2B5EF4-FFF2-40B4-BE49-F238E27FC236}">
                <a16:creationId xmlns:a16="http://schemas.microsoft.com/office/drawing/2014/main" id="{FA843954-5371-49C0-8DA0-0347A68ADF99}"/>
              </a:ext>
            </a:extLst>
          </xdr:cNvPr>
          <xdr:cNvCxnSpPr/>
        </xdr:nvCxnSpPr>
        <xdr:spPr>
          <a:xfrm flipH="1">
            <a:off x="2709862" y="88039576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7" name="Straight Connector 2746">
            <a:extLst>
              <a:ext uri="{FF2B5EF4-FFF2-40B4-BE49-F238E27FC236}">
                <a16:creationId xmlns:a16="http://schemas.microsoft.com/office/drawing/2014/main" id="{4810B3C5-CECC-4A4E-8B2C-FA74C73F4068}"/>
              </a:ext>
            </a:extLst>
          </xdr:cNvPr>
          <xdr:cNvCxnSpPr/>
        </xdr:nvCxnSpPr>
        <xdr:spPr>
          <a:xfrm>
            <a:off x="2762250" y="8487727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8" name="Straight Connector 2747">
            <a:extLst>
              <a:ext uri="{FF2B5EF4-FFF2-40B4-BE49-F238E27FC236}">
                <a16:creationId xmlns:a16="http://schemas.microsoft.com/office/drawing/2014/main" id="{2821D3C2-B9AF-467D-95E3-355D3C4D9FBE}"/>
              </a:ext>
            </a:extLst>
          </xdr:cNvPr>
          <xdr:cNvCxnSpPr/>
        </xdr:nvCxnSpPr>
        <xdr:spPr>
          <a:xfrm>
            <a:off x="2938462" y="84505800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49" name="Oval 2748">
            <a:extLst>
              <a:ext uri="{FF2B5EF4-FFF2-40B4-BE49-F238E27FC236}">
                <a16:creationId xmlns:a16="http://schemas.microsoft.com/office/drawing/2014/main" id="{D522C0A8-1FEC-42B3-8B16-DCEDD81FEB35}"/>
              </a:ext>
            </a:extLst>
          </xdr:cNvPr>
          <xdr:cNvSpPr/>
        </xdr:nvSpPr>
        <xdr:spPr>
          <a:xfrm>
            <a:off x="2729866" y="8462105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750" name="Straight Connector 2749">
            <a:extLst>
              <a:ext uri="{FF2B5EF4-FFF2-40B4-BE49-F238E27FC236}">
                <a16:creationId xmlns:a16="http://schemas.microsoft.com/office/drawing/2014/main" id="{4CFE4C2B-CDE0-4E25-A811-90BFB7F13CEA}"/>
              </a:ext>
            </a:extLst>
          </xdr:cNvPr>
          <xdr:cNvCxnSpPr/>
        </xdr:nvCxnSpPr>
        <xdr:spPr>
          <a:xfrm>
            <a:off x="2195513" y="84648675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1" name="Straight Connector 2750">
            <a:extLst>
              <a:ext uri="{FF2B5EF4-FFF2-40B4-BE49-F238E27FC236}">
                <a16:creationId xmlns:a16="http://schemas.microsoft.com/office/drawing/2014/main" id="{C8C22B88-04F9-4FBB-BA0D-C819F218B716}"/>
              </a:ext>
            </a:extLst>
          </xdr:cNvPr>
          <xdr:cNvCxnSpPr/>
        </xdr:nvCxnSpPr>
        <xdr:spPr>
          <a:xfrm flipV="1">
            <a:off x="2266950" y="84448650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2" name="Straight Connector 2751">
            <a:extLst>
              <a:ext uri="{FF2B5EF4-FFF2-40B4-BE49-F238E27FC236}">
                <a16:creationId xmlns:a16="http://schemas.microsoft.com/office/drawing/2014/main" id="{C2CB83C7-DA5F-4E12-8087-5132B02860AD}"/>
              </a:ext>
            </a:extLst>
          </xdr:cNvPr>
          <xdr:cNvCxnSpPr/>
        </xdr:nvCxnSpPr>
        <xdr:spPr>
          <a:xfrm flipH="1">
            <a:off x="2190750" y="84505800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3" name="Straight Connector 2752">
            <a:extLst>
              <a:ext uri="{FF2B5EF4-FFF2-40B4-BE49-F238E27FC236}">
                <a16:creationId xmlns:a16="http://schemas.microsoft.com/office/drawing/2014/main" id="{76B65B1F-2CCF-47B4-9311-D2AC2FBA5BE8}"/>
              </a:ext>
            </a:extLst>
          </xdr:cNvPr>
          <xdr:cNvCxnSpPr/>
        </xdr:nvCxnSpPr>
        <xdr:spPr>
          <a:xfrm flipH="1">
            <a:off x="2224088" y="84472463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4" name="Straight Connector 2753">
            <a:extLst>
              <a:ext uri="{FF2B5EF4-FFF2-40B4-BE49-F238E27FC236}">
                <a16:creationId xmlns:a16="http://schemas.microsoft.com/office/drawing/2014/main" id="{1E5416A0-70E8-454F-947D-0A52E260C9AB}"/>
              </a:ext>
            </a:extLst>
          </xdr:cNvPr>
          <xdr:cNvCxnSpPr/>
        </xdr:nvCxnSpPr>
        <xdr:spPr>
          <a:xfrm flipH="1">
            <a:off x="2228850" y="84610575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5" name="Straight Connector 2754">
            <a:extLst>
              <a:ext uri="{FF2B5EF4-FFF2-40B4-BE49-F238E27FC236}">
                <a16:creationId xmlns:a16="http://schemas.microsoft.com/office/drawing/2014/main" id="{D031759D-AB8B-4525-84C7-04755803BDB3}"/>
              </a:ext>
            </a:extLst>
          </xdr:cNvPr>
          <xdr:cNvCxnSpPr/>
        </xdr:nvCxnSpPr>
        <xdr:spPr>
          <a:xfrm flipH="1">
            <a:off x="3190874" y="8483441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6" name="Straight Connector 2755">
            <a:extLst>
              <a:ext uri="{FF2B5EF4-FFF2-40B4-BE49-F238E27FC236}">
                <a16:creationId xmlns:a16="http://schemas.microsoft.com/office/drawing/2014/main" id="{A4F73FB8-9816-48B6-A686-25D91B352655}"/>
              </a:ext>
            </a:extLst>
          </xdr:cNvPr>
          <xdr:cNvCxnSpPr/>
        </xdr:nvCxnSpPr>
        <xdr:spPr>
          <a:xfrm>
            <a:off x="2767012" y="8522017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7" name="Straight Connector 2756">
            <a:extLst>
              <a:ext uri="{FF2B5EF4-FFF2-40B4-BE49-F238E27FC236}">
                <a16:creationId xmlns:a16="http://schemas.microsoft.com/office/drawing/2014/main" id="{C9597CC8-ED14-46C2-8B76-7E4B0CC9049A}"/>
              </a:ext>
            </a:extLst>
          </xdr:cNvPr>
          <xdr:cNvCxnSpPr/>
        </xdr:nvCxnSpPr>
        <xdr:spPr>
          <a:xfrm flipH="1">
            <a:off x="3195636" y="8517731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8" name="Straight Connector 2757">
            <a:extLst>
              <a:ext uri="{FF2B5EF4-FFF2-40B4-BE49-F238E27FC236}">
                <a16:creationId xmlns:a16="http://schemas.microsoft.com/office/drawing/2014/main" id="{743A4B34-6A36-42DA-B0E1-B4C657E113E9}"/>
              </a:ext>
            </a:extLst>
          </xdr:cNvPr>
          <xdr:cNvCxnSpPr/>
        </xdr:nvCxnSpPr>
        <xdr:spPr>
          <a:xfrm>
            <a:off x="2762249" y="85510686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9" name="Straight Connector 2758">
            <a:extLst>
              <a:ext uri="{FF2B5EF4-FFF2-40B4-BE49-F238E27FC236}">
                <a16:creationId xmlns:a16="http://schemas.microsoft.com/office/drawing/2014/main" id="{DB01EE64-E0E8-42D8-9118-FDA5F591A4EC}"/>
              </a:ext>
            </a:extLst>
          </xdr:cNvPr>
          <xdr:cNvCxnSpPr/>
        </xdr:nvCxnSpPr>
        <xdr:spPr>
          <a:xfrm flipH="1">
            <a:off x="3190873" y="85467824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0" name="Straight Connector 2759">
            <a:extLst>
              <a:ext uri="{FF2B5EF4-FFF2-40B4-BE49-F238E27FC236}">
                <a16:creationId xmlns:a16="http://schemas.microsoft.com/office/drawing/2014/main" id="{10BCF1B9-6BCB-4507-8D84-15E242B7C591}"/>
              </a:ext>
            </a:extLst>
          </xdr:cNvPr>
          <xdr:cNvCxnSpPr/>
        </xdr:nvCxnSpPr>
        <xdr:spPr>
          <a:xfrm>
            <a:off x="2762248" y="8581548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1" name="Straight Connector 2760">
            <a:extLst>
              <a:ext uri="{FF2B5EF4-FFF2-40B4-BE49-F238E27FC236}">
                <a16:creationId xmlns:a16="http://schemas.microsoft.com/office/drawing/2014/main" id="{C88EF5ED-31FC-4542-8AD7-92D477001DF9}"/>
              </a:ext>
            </a:extLst>
          </xdr:cNvPr>
          <xdr:cNvCxnSpPr/>
        </xdr:nvCxnSpPr>
        <xdr:spPr>
          <a:xfrm flipH="1">
            <a:off x="3190872" y="8577262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2" name="Straight Connector 2761">
            <a:extLst>
              <a:ext uri="{FF2B5EF4-FFF2-40B4-BE49-F238E27FC236}">
                <a16:creationId xmlns:a16="http://schemas.microsoft.com/office/drawing/2014/main" id="{3CC3A759-F932-4210-B43C-30D113D0DFA7}"/>
              </a:ext>
            </a:extLst>
          </xdr:cNvPr>
          <xdr:cNvCxnSpPr/>
        </xdr:nvCxnSpPr>
        <xdr:spPr>
          <a:xfrm>
            <a:off x="2767010" y="8603456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3" name="Straight Connector 2762">
            <a:extLst>
              <a:ext uri="{FF2B5EF4-FFF2-40B4-BE49-F238E27FC236}">
                <a16:creationId xmlns:a16="http://schemas.microsoft.com/office/drawing/2014/main" id="{794F1A52-1ADE-4C47-99C6-9F0B5C59E589}"/>
              </a:ext>
            </a:extLst>
          </xdr:cNvPr>
          <xdr:cNvCxnSpPr/>
        </xdr:nvCxnSpPr>
        <xdr:spPr>
          <a:xfrm flipH="1">
            <a:off x="3195634" y="8599170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4" name="Straight Connector 2763">
            <a:extLst>
              <a:ext uri="{FF2B5EF4-FFF2-40B4-BE49-F238E27FC236}">
                <a16:creationId xmlns:a16="http://schemas.microsoft.com/office/drawing/2014/main" id="{6E14ADCF-8414-4686-A193-077BF0FB0A04}"/>
              </a:ext>
            </a:extLst>
          </xdr:cNvPr>
          <xdr:cNvCxnSpPr/>
        </xdr:nvCxnSpPr>
        <xdr:spPr>
          <a:xfrm>
            <a:off x="2762248" y="8563451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5" name="Straight Connector 2764">
            <a:extLst>
              <a:ext uri="{FF2B5EF4-FFF2-40B4-BE49-F238E27FC236}">
                <a16:creationId xmlns:a16="http://schemas.microsoft.com/office/drawing/2014/main" id="{3F31DFB9-0F8F-4D62-A927-CB73502C4AAC}"/>
              </a:ext>
            </a:extLst>
          </xdr:cNvPr>
          <xdr:cNvCxnSpPr/>
        </xdr:nvCxnSpPr>
        <xdr:spPr>
          <a:xfrm flipH="1">
            <a:off x="3190872" y="8559165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6" name="Straight Connector 2765">
            <a:extLst>
              <a:ext uri="{FF2B5EF4-FFF2-40B4-BE49-F238E27FC236}">
                <a16:creationId xmlns:a16="http://schemas.microsoft.com/office/drawing/2014/main" id="{371A5B77-F022-400E-9479-10E924227F5D}"/>
              </a:ext>
            </a:extLst>
          </xdr:cNvPr>
          <xdr:cNvCxnSpPr/>
        </xdr:nvCxnSpPr>
        <xdr:spPr>
          <a:xfrm>
            <a:off x="2762248" y="8536782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7" name="Straight Connector 2766">
            <a:extLst>
              <a:ext uri="{FF2B5EF4-FFF2-40B4-BE49-F238E27FC236}">
                <a16:creationId xmlns:a16="http://schemas.microsoft.com/office/drawing/2014/main" id="{9F3CE891-3BB2-4D61-A85D-400D8B88B6C9}"/>
              </a:ext>
            </a:extLst>
          </xdr:cNvPr>
          <xdr:cNvCxnSpPr/>
        </xdr:nvCxnSpPr>
        <xdr:spPr>
          <a:xfrm flipH="1">
            <a:off x="3190872" y="8532018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68" name="Oval 2767">
            <a:extLst>
              <a:ext uri="{FF2B5EF4-FFF2-40B4-BE49-F238E27FC236}">
                <a16:creationId xmlns:a16="http://schemas.microsoft.com/office/drawing/2014/main" id="{37B78369-D3E0-4FA6-9288-79E499B0B8C3}"/>
              </a:ext>
            </a:extLst>
          </xdr:cNvPr>
          <xdr:cNvSpPr/>
        </xdr:nvSpPr>
        <xdr:spPr>
          <a:xfrm>
            <a:off x="1833563" y="84620100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769" name="Oval 2768">
            <a:extLst>
              <a:ext uri="{FF2B5EF4-FFF2-40B4-BE49-F238E27FC236}">
                <a16:creationId xmlns:a16="http://schemas.microsoft.com/office/drawing/2014/main" id="{A652FE2B-EB2B-4D2F-BA52-CCF0D8A31ABF}"/>
              </a:ext>
            </a:extLst>
          </xdr:cNvPr>
          <xdr:cNvSpPr/>
        </xdr:nvSpPr>
        <xdr:spPr>
          <a:xfrm>
            <a:off x="3624263" y="8462486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770" name="Straight Connector 2769">
            <a:extLst>
              <a:ext uri="{FF2B5EF4-FFF2-40B4-BE49-F238E27FC236}">
                <a16:creationId xmlns:a16="http://schemas.microsoft.com/office/drawing/2014/main" id="{955DEFA6-247F-4519-9F6D-CA575D539B26}"/>
              </a:ext>
            </a:extLst>
          </xdr:cNvPr>
          <xdr:cNvCxnSpPr/>
        </xdr:nvCxnSpPr>
        <xdr:spPr>
          <a:xfrm>
            <a:off x="4781550" y="8450580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1" name="Straight Connector 2770">
            <a:extLst>
              <a:ext uri="{FF2B5EF4-FFF2-40B4-BE49-F238E27FC236}">
                <a16:creationId xmlns:a16="http://schemas.microsoft.com/office/drawing/2014/main" id="{B5B277D2-C554-40B4-8662-57C40C278607}"/>
              </a:ext>
            </a:extLst>
          </xdr:cNvPr>
          <xdr:cNvCxnSpPr/>
        </xdr:nvCxnSpPr>
        <xdr:spPr>
          <a:xfrm>
            <a:off x="5019675" y="83000850"/>
            <a:ext cx="0" cy="458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2" name="Straight Connector 2771">
            <a:extLst>
              <a:ext uri="{FF2B5EF4-FFF2-40B4-BE49-F238E27FC236}">
                <a16:creationId xmlns:a16="http://schemas.microsoft.com/office/drawing/2014/main" id="{4B0357EB-9340-42BC-A282-66809DF1BD04}"/>
              </a:ext>
            </a:extLst>
          </xdr:cNvPr>
          <xdr:cNvCxnSpPr/>
        </xdr:nvCxnSpPr>
        <xdr:spPr>
          <a:xfrm flipH="1">
            <a:off x="4981576" y="87458553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3" name="Straight Connector 2772">
            <a:extLst>
              <a:ext uri="{FF2B5EF4-FFF2-40B4-BE49-F238E27FC236}">
                <a16:creationId xmlns:a16="http://schemas.microsoft.com/office/drawing/2014/main" id="{638A46F7-A6CB-46C5-8240-D3A5A10DFB13}"/>
              </a:ext>
            </a:extLst>
          </xdr:cNvPr>
          <xdr:cNvCxnSpPr/>
        </xdr:nvCxnSpPr>
        <xdr:spPr>
          <a:xfrm flipH="1">
            <a:off x="4976814" y="844629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4" name="Straight Connector 2773">
            <a:extLst>
              <a:ext uri="{FF2B5EF4-FFF2-40B4-BE49-F238E27FC236}">
                <a16:creationId xmlns:a16="http://schemas.microsoft.com/office/drawing/2014/main" id="{9825D43B-7D06-45C2-A2AB-5CFD0F340D6B}"/>
              </a:ext>
            </a:extLst>
          </xdr:cNvPr>
          <xdr:cNvCxnSpPr/>
        </xdr:nvCxnSpPr>
        <xdr:spPr>
          <a:xfrm>
            <a:off x="3509962" y="84505800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5" name="Straight Connector 2774">
            <a:extLst>
              <a:ext uri="{FF2B5EF4-FFF2-40B4-BE49-F238E27FC236}">
                <a16:creationId xmlns:a16="http://schemas.microsoft.com/office/drawing/2014/main" id="{2650EEE4-B025-437C-9C53-8FB19646F1B6}"/>
              </a:ext>
            </a:extLst>
          </xdr:cNvPr>
          <xdr:cNvCxnSpPr/>
        </xdr:nvCxnSpPr>
        <xdr:spPr>
          <a:xfrm>
            <a:off x="4419600" y="84505800"/>
            <a:ext cx="219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6" name="Straight Connector 2775">
            <a:extLst>
              <a:ext uri="{FF2B5EF4-FFF2-40B4-BE49-F238E27FC236}">
                <a16:creationId xmlns:a16="http://schemas.microsoft.com/office/drawing/2014/main" id="{90E379B4-BA9F-4515-9B09-8CDA22E0F9D9}"/>
              </a:ext>
            </a:extLst>
          </xdr:cNvPr>
          <xdr:cNvCxnSpPr/>
        </xdr:nvCxnSpPr>
        <xdr:spPr>
          <a:xfrm>
            <a:off x="2757485" y="8630126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7" name="Straight Connector 2776">
            <a:extLst>
              <a:ext uri="{FF2B5EF4-FFF2-40B4-BE49-F238E27FC236}">
                <a16:creationId xmlns:a16="http://schemas.microsoft.com/office/drawing/2014/main" id="{5F9BF9BD-4481-47D4-8C34-95CD1B9A5C08}"/>
              </a:ext>
            </a:extLst>
          </xdr:cNvPr>
          <xdr:cNvCxnSpPr/>
        </xdr:nvCxnSpPr>
        <xdr:spPr>
          <a:xfrm flipH="1">
            <a:off x="3186109" y="8625840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8" name="Straight Connector 2777">
            <a:extLst>
              <a:ext uri="{FF2B5EF4-FFF2-40B4-BE49-F238E27FC236}">
                <a16:creationId xmlns:a16="http://schemas.microsoft.com/office/drawing/2014/main" id="{7F517FF8-CA8C-4B0B-A8D2-A2B8FFDB8F31}"/>
              </a:ext>
            </a:extLst>
          </xdr:cNvPr>
          <xdr:cNvCxnSpPr/>
        </xdr:nvCxnSpPr>
        <xdr:spPr>
          <a:xfrm>
            <a:off x="1900251" y="82724626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9" name="Straight Connector 2778">
            <a:extLst>
              <a:ext uri="{FF2B5EF4-FFF2-40B4-BE49-F238E27FC236}">
                <a16:creationId xmlns:a16="http://schemas.microsoft.com/office/drawing/2014/main" id="{FBA06A43-03E8-4858-A939-40FD0A2541DA}"/>
              </a:ext>
            </a:extLst>
          </xdr:cNvPr>
          <xdr:cNvCxnSpPr/>
        </xdr:nvCxnSpPr>
        <xdr:spPr>
          <a:xfrm flipH="1">
            <a:off x="1857390" y="8274843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0" name="Straight Connector 2779">
            <a:extLst>
              <a:ext uri="{FF2B5EF4-FFF2-40B4-BE49-F238E27FC236}">
                <a16:creationId xmlns:a16="http://schemas.microsoft.com/office/drawing/2014/main" id="{83B9A62A-A697-4A56-923B-490431FEEAB5}"/>
              </a:ext>
            </a:extLst>
          </xdr:cNvPr>
          <xdr:cNvCxnSpPr/>
        </xdr:nvCxnSpPr>
        <xdr:spPr>
          <a:xfrm>
            <a:off x="3605219" y="8272462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1" name="Straight Connector 2780">
            <a:extLst>
              <a:ext uri="{FF2B5EF4-FFF2-40B4-BE49-F238E27FC236}">
                <a16:creationId xmlns:a16="http://schemas.microsoft.com/office/drawing/2014/main" id="{58CC4994-C1C2-4A84-B7B3-94B62FD18040}"/>
              </a:ext>
            </a:extLst>
          </xdr:cNvPr>
          <xdr:cNvCxnSpPr/>
        </xdr:nvCxnSpPr>
        <xdr:spPr>
          <a:xfrm flipH="1">
            <a:off x="3562357" y="827484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2" name="Straight Connector 2781">
            <a:extLst>
              <a:ext uri="{FF2B5EF4-FFF2-40B4-BE49-F238E27FC236}">
                <a16:creationId xmlns:a16="http://schemas.microsoft.com/office/drawing/2014/main" id="{9D1B1DCE-F51B-4772-9E26-B52F92AA3F5F}"/>
              </a:ext>
            </a:extLst>
          </xdr:cNvPr>
          <xdr:cNvCxnSpPr/>
        </xdr:nvCxnSpPr>
        <xdr:spPr>
          <a:xfrm flipH="1">
            <a:off x="4976813" y="8302942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3" name="Straight Connector 2782">
            <a:extLst>
              <a:ext uri="{FF2B5EF4-FFF2-40B4-BE49-F238E27FC236}">
                <a16:creationId xmlns:a16="http://schemas.microsoft.com/office/drawing/2014/main" id="{DC5AC5F0-D8A1-403A-8762-27EDE4EF15B7}"/>
              </a:ext>
            </a:extLst>
          </xdr:cNvPr>
          <xdr:cNvCxnSpPr/>
        </xdr:nvCxnSpPr>
        <xdr:spPr>
          <a:xfrm>
            <a:off x="2767012" y="86577487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4" name="Straight Connector 2783">
            <a:extLst>
              <a:ext uri="{FF2B5EF4-FFF2-40B4-BE49-F238E27FC236}">
                <a16:creationId xmlns:a16="http://schemas.microsoft.com/office/drawing/2014/main" id="{5F0676BD-E0CA-49F3-9E9B-3953EB36FDC5}"/>
              </a:ext>
            </a:extLst>
          </xdr:cNvPr>
          <xdr:cNvCxnSpPr/>
        </xdr:nvCxnSpPr>
        <xdr:spPr>
          <a:xfrm flipH="1">
            <a:off x="3195646" y="87125184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5" name="Straight Connector 2784">
            <a:extLst>
              <a:ext uri="{FF2B5EF4-FFF2-40B4-BE49-F238E27FC236}">
                <a16:creationId xmlns:a16="http://schemas.microsoft.com/office/drawing/2014/main" id="{BCBAADAA-3709-413B-9A78-87DFB53C4D68}"/>
              </a:ext>
            </a:extLst>
          </xdr:cNvPr>
          <xdr:cNvCxnSpPr/>
        </xdr:nvCxnSpPr>
        <xdr:spPr>
          <a:xfrm>
            <a:off x="1138238" y="86201250"/>
            <a:ext cx="1614487" cy="3714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6" name="Straight Connector 2785">
            <a:extLst>
              <a:ext uri="{FF2B5EF4-FFF2-40B4-BE49-F238E27FC236}">
                <a16:creationId xmlns:a16="http://schemas.microsoft.com/office/drawing/2014/main" id="{9223F1CB-9C01-4357-A3C8-7D4C84FA7889}"/>
              </a:ext>
            </a:extLst>
          </xdr:cNvPr>
          <xdr:cNvCxnSpPr/>
        </xdr:nvCxnSpPr>
        <xdr:spPr>
          <a:xfrm flipV="1">
            <a:off x="2757488" y="86210775"/>
            <a:ext cx="1619250" cy="3619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7" name="Straight Connector 2786">
            <a:extLst>
              <a:ext uri="{FF2B5EF4-FFF2-40B4-BE49-F238E27FC236}">
                <a16:creationId xmlns:a16="http://schemas.microsoft.com/office/drawing/2014/main" id="{EDE61BA7-BC2C-4C67-86DC-D91DB423CABF}"/>
              </a:ext>
            </a:extLst>
          </xdr:cNvPr>
          <xdr:cNvCxnSpPr/>
        </xdr:nvCxnSpPr>
        <xdr:spPr>
          <a:xfrm flipH="1" flipV="1">
            <a:off x="1138238" y="86206013"/>
            <a:ext cx="1452562" cy="32861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8" name="Straight Connector 2787">
            <a:extLst>
              <a:ext uri="{FF2B5EF4-FFF2-40B4-BE49-F238E27FC236}">
                <a16:creationId xmlns:a16="http://schemas.microsoft.com/office/drawing/2014/main" id="{152B9A71-3ADD-4292-818C-329FF033F347}"/>
              </a:ext>
            </a:extLst>
          </xdr:cNvPr>
          <xdr:cNvCxnSpPr/>
        </xdr:nvCxnSpPr>
        <xdr:spPr>
          <a:xfrm flipH="1">
            <a:off x="2914650" y="86206013"/>
            <a:ext cx="1462088" cy="3286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9" name="Straight Connector 2788">
            <a:extLst>
              <a:ext uri="{FF2B5EF4-FFF2-40B4-BE49-F238E27FC236}">
                <a16:creationId xmlns:a16="http://schemas.microsoft.com/office/drawing/2014/main" id="{2F9341AF-CDC0-43CB-9471-4D403601740E}"/>
              </a:ext>
            </a:extLst>
          </xdr:cNvPr>
          <xdr:cNvCxnSpPr/>
        </xdr:nvCxnSpPr>
        <xdr:spPr>
          <a:xfrm flipH="1">
            <a:off x="723900" y="86201250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0" name="Straight Connector 2789">
            <a:extLst>
              <a:ext uri="{FF2B5EF4-FFF2-40B4-BE49-F238E27FC236}">
                <a16:creationId xmlns:a16="http://schemas.microsoft.com/office/drawing/2014/main" id="{19AD14F1-FC6A-4F8A-971D-B46C60D3E1A6}"/>
              </a:ext>
            </a:extLst>
          </xdr:cNvPr>
          <xdr:cNvCxnSpPr/>
        </xdr:nvCxnSpPr>
        <xdr:spPr>
          <a:xfrm flipH="1">
            <a:off x="762000" y="8616315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1" name="Straight Connector 2790">
            <a:extLst>
              <a:ext uri="{FF2B5EF4-FFF2-40B4-BE49-F238E27FC236}">
                <a16:creationId xmlns:a16="http://schemas.microsoft.com/office/drawing/2014/main" id="{0F00E24F-81D5-4164-9C98-69792C41675A}"/>
              </a:ext>
            </a:extLst>
          </xdr:cNvPr>
          <xdr:cNvCxnSpPr/>
        </xdr:nvCxnSpPr>
        <xdr:spPr>
          <a:xfrm>
            <a:off x="2776543" y="8716803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2" name="Straight Connector 2791">
            <a:extLst>
              <a:ext uri="{FF2B5EF4-FFF2-40B4-BE49-F238E27FC236}">
                <a16:creationId xmlns:a16="http://schemas.microsoft.com/office/drawing/2014/main" id="{2011FAE6-860D-4811-9B4D-4279A666FACE}"/>
              </a:ext>
            </a:extLst>
          </xdr:cNvPr>
          <xdr:cNvCxnSpPr/>
        </xdr:nvCxnSpPr>
        <xdr:spPr>
          <a:xfrm>
            <a:off x="1138238" y="86634638"/>
            <a:ext cx="161925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3" name="Straight Connector 2792">
            <a:extLst>
              <a:ext uri="{FF2B5EF4-FFF2-40B4-BE49-F238E27FC236}">
                <a16:creationId xmlns:a16="http://schemas.microsoft.com/office/drawing/2014/main" id="{C8C71E0C-10F0-4EB7-8DA1-8C7FE9E05D6B}"/>
              </a:ext>
            </a:extLst>
          </xdr:cNvPr>
          <xdr:cNvCxnSpPr/>
        </xdr:nvCxnSpPr>
        <xdr:spPr>
          <a:xfrm flipV="1">
            <a:off x="2752729" y="86639400"/>
            <a:ext cx="1624009" cy="2200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4" name="Straight Connector 2793">
            <a:extLst>
              <a:ext uri="{FF2B5EF4-FFF2-40B4-BE49-F238E27FC236}">
                <a16:creationId xmlns:a16="http://schemas.microsoft.com/office/drawing/2014/main" id="{AB0A50D1-ECB0-4654-8FF5-F60C43FA632B}"/>
              </a:ext>
            </a:extLst>
          </xdr:cNvPr>
          <xdr:cNvCxnSpPr/>
        </xdr:nvCxnSpPr>
        <xdr:spPr>
          <a:xfrm flipH="1" flipV="1">
            <a:off x="1133475" y="86634638"/>
            <a:ext cx="1462089" cy="2047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5" name="Straight Connector 2794">
            <a:extLst>
              <a:ext uri="{FF2B5EF4-FFF2-40B4-BE49-F238E27FC236}">
                <a16:creationId xmlns:a16="http://schemas.microsoft.com/office/drawing/2014/main" id="{11F944DB-D3B8-4E58-B6BE-5EE4E13427BE}"/>
              </a:ext>
            </a:extLst>
          </xdr:cNvPr>
          <xdr:cNvCxnSpPr/>
        </xdr:nvCxnSpPr>
        <xdr:spPr>
          <a:xfrm flipH="1">
            <a:off x="2919413" y="86644163"/>
            <a:ext cx="1443038" cy="19526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6" name="Straight Connector 2795">
            <a:extLst>
              <a:ext uri="{FF2B5EF4-FFF2-40B4-BE49-F238E27FC236}">
                <a16:creationId xmlns:a16="http://schemas.microsoft.com/office/drawing/2014/main" id="{7171E571-3985-4875-B39B-666CB7549918}"/>
              </a:ext>
            </a:extLst>
          </xdr:cNvPr>
          <xdr:cNvCxnSpPr/>
        </xdr:nvCxnSpPr>
        <xdr:spPr>
          <a:xfrm flipH="1">
            <a:off x="728668" y="86629880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7" name="Straight Connector 2796">
            <a:extLst>
              <a:ext uri="{FF2B5EF4-FFF2-40B4-BE49-F238E27FC236}">
                <a16:creationId xmlns:a16="http://schemas.microsoft.com/office/drawing/2014/main" id="{AC8DE38A-6410-4BAD-AC61-3D0533EBA291}"/>
              </a:ext>
            </a:extLst>
          </xdr:cNvPr>
          <xdr:cNvCxnSpPr/>
        </xdr:nvCxnSpPr>
        <xdr:spPr>
          <a:xfrm flipH="1">
            <a:off x="766768" y="8659178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8" name="Straight Connector 2797">
            <a:extLst>
              <a:ext uri="{FF2B5EF4-FFF2-40B4-BE49-F238E27FC236}">
                <a16:creationId xmlns:a16="http://schemas.microsoft.com/office/drawing/2014/main" id="{1FCD5531-A52B-478A-9616-2D4CE0A79718}"/>
              </a:ext>
            </a:extLst>
          </xdr:cNvPr>
          <xdr:cNvCxnSpPr/>
        </xdr:nvCxnSpPr>
        <xdr:spPr>
          <a:xfrm flipH="1">
            <a:off x="3195638" y="87458549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6" name="Straight Connector 2815">
            <a:extLst>
              <a:ext uri="{FF2B5EF4-FFF2-40B4-BE49-F238E27FC236}">
                <a16:creationId xmlns:a16="http://schemas.microsoft.com/office/drawing/2014/main" id="{2BA92800-138F-4CCD-9469-A9645AB3596E}"/>
              </a:ext>
            </a:extLst>
          </xdr:cNvPr>
          <xdr:cNvCxnSpPr/>
        </xdr:nvCxnSpPr>
        <xdr:spPr>
          <a:xfrm flipH="1" flipV="1">
            <a:off x="1138238" y="87058501"/>
            <a:ext cx="1457325" cy="9524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8" name="Straight Connector 2817">
            <a:extLst>
              <a:ext uri="{FF2B5EF4-FFF2-40B4-BE49-F238E27FC236}">
                <a16:creationId xmlns:a16="http://schemas.microsoft.com/office/drawing/2014/main" id="{04604B4B-7F80-4FFF-BB71-D8FC72F2B306}"/>
              </a:ext>
            </a:extLst>
          </xdr:cNvPr>
          <xdr:cNvCxnSpPr/>
        </xdr:nvCxnSpPr>
        <xdr:spPr>
          <a:xfrm flipV="1">
            <a:off x="2752725" y="87048975"/>
            <a:ext cx="1614488" cy="11486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9" name="Straight Connector 2818">
            <a:extLst>
              <a:ext uri="{FF2B5EF4-FFF2-40B4-BE49-F238E27FC236}">
                <a16:creationId xmlns:a16="http://schemas.microsoft.com/office/drawing/2014/main" id="{F096D8C1-7BA7-46EF-BD26-DD27759C5D85}"/>
              </a:ext>
            </a:extLst>
          </xdr:cNvPr>
          <xdr:cNvCxnSpPr/>
        </xdr:nvCxnSpPr>
        <xdr:spPr>
          <a:xfrm flipH="1">
            <a:off x="2914650" y="87053738"/>
            <a:ext cx="1457325" cy="1000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0" name="Straight Connector 2829">
            <a:extLst>
              <a:ext uri="{FF2B5EF4-FFF2-40B4-BE49-F238E27FC236}">
                <a16:creationId xmlns:a16="http://schemas.microsoft.com/office/drawing/2014/main" id="{5DF2A460-CBA7-4AD6-8F9A-9DCA478216BB}"/>
              </a:ext>
            </a:extLst>
          </xdr:cNvPr>
          <xdr:cNvCxnSpPr/>
        </xdr:nvCxnSpPr>
        <xdr:spPr>
          <a:xfrm flipH="1">
            <a:off x="723900" y="87058499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1" name="Straight Connector 2830">
            <a:extLst>
              <a:ext uri="{FF2B5EF4-FFF2-40B4-BE49-F238E27FC236}">
                <a16:creationId xmlns:a16="http://schemas.microsoft.com/office/drawing/2014/main" id="{3FFB891D-E94E-493A-8397-42AF85AF7CF5}"/>
              </a:ext>
            </a:extLst>
          </xdr:cNvPr>
          <xdr:cNvCxnSpPr/>
        </xdr:nvCxnSpPr>
        <xdr:spPr>
          <a:xfrm flipH="1">
            <a:off x="762000" y="870204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2" name="Straight Connector 2831">
            <a:extLst>
              <a:ext uri="{FF2B5EF4-FFF2-40B4-BE49-F238E27FC236}">
                <a16:creationId xmlns:a16="http://schemas.microsoft.com/office/drawing/2014/main" id="{CA8C1E01-12D9-44C2-9133-A7B53AAECC29}"/>
              </a:ext>
            </a:extLst>
          </xdr:cNvPr>
          <xdr:cNvCxnSpPr/>
        </xdr:nvCxnSpPr>
        <xdr:spPr>
          <a:xfrm flipH="1">
            <a:off x="3190883" y="86825137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3" name="Straight Connector 2832">
            <a:extLst>
              <a:ext uri="{FF2B5EF4-FFF2-40B4-BE49-F238E27FC236}">
                <a16:creationId xmlns:a16="http://schemas.microsoft.com/office/drawing/2014/main" id="{0336B39B-147E-40CF-AA4B-22550029CC97}"/>
              </a:ext>
            </a:extLst>
          </xdr:cNvPr>
          <xdr:cNvCxnSpPr/>
        </xdr:nvCxnSpPr>
        <xdr:spPr>
          <a:xfrm>
            <a:off x="2762250" y="86863233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55</xdr:col>
      <xdr:colOff>76200</xdr:colOff>
      <xdr:row>8</xdr:row>
      <xdr:rowOff>123825</xdr:rowOff>
    </xdr:from>
    <xdr:to>
      <xdr:col>57</xdr:col>
      <xdr:colOff>142875</xdr:colOff>
      <xdr:row>10</xdr:row>
      <xdr:rowOff>66675</xdr:rowOff>
    </xdr:to>
    <xdr:cxnSp macro="">
      <xdr:nvCxnSpPr>
        <xdr:cNvPr id="2370" name="Straight Arrow Connector 2369">
          <a:extLst>
            <a:ext uri="{FF2B5EF4-FFF2-40B4-BE49-F238E27FC236}">
              <a16:creationId xmlns:a16="http://schemas.microsoft.com/office/drawing/2014/main" id="{ACBEBE74-3609-4FF3-9BE3-FFA4CA01731A}"/>
            </a:ext>
          </a:extLst>
        </xdr:cNvPr>
        <xdr:cNvCxnSpPr/>
      </xdr:nvCxnSpPr>
      <xdr:spPr>
        <a:xfrm flipH="1" flipV="1">
          <a:off x="8982075" y="1752600"/>
          <a:ext cx="390525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85725</xdr:colOff>
      <xdr:row>42</xdr:row>
      <xdr:rowOff>66675</xdr:rowOff>
    </xdr:from>
    <xdr:to>
      <xdr:col>45</xdr:col>
      <xdr:colOff>8164</xdr:colOff>
      <xdr:row>48</xdr:row>
      <xdr:rowOff>1360</xdr:rowOff>
    </xdr:to>
    <xdr:grpSp>
      <xdr:nvGrpSpPr>
        <xdr:cNvPr id="2595" name="Group 2594">
          <a:extLst>
            <a:ext uri="{FF2B5EF4-FFF2-40B4-BE49-F238E27FC236}">
              <a16:creationId xmlns:a16="http://schemas.microsoft.com/office/drawing/2014/main" id="{C3EA3ADD-65CF-4144-A4F7-DDE61C41181C}"/>
            </a:ext>
          </a:extLst>
        </xdr:cNvPr>
        <xdr:cNvGrpSpPr/>
      </xdr:nvGrpSpPr>
      <xdr:grpSpPr>
        <a:xfrm>
          <a:off x="5591175" y="6553200"/>
          <a:ext cx="1703614" cy="791935"/>
          <a:chOff x="6076950" y="10163175"/>
          <a:chExt cx="1703614" cy="791935"/>
        </a:xfrm>
      </xdr:grpSpPr>
      <xdr:sp macro="" textlink="">
        <xdr:nvSpPr>
          <xdr:cNvPr id="2599" name="Freeform: Shape 2598">
            <a:extLst>
              <a:ext uri="{FF2B5EF4-FFF2-40B4-BE49-F238E27FC236}">
                <a16:creationId xmlns:a16="http://schemas.microsoft.com/office/drawing/2014/main" id="{C70D89C3-8B47-4FD2-B91B-08C3886E9FF8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602" name="Freeform: Shape 2601">
            <a:extLst>
              <a:ext uri="{FF2B5EF4-FFF2-40B4-BE49-F238E27FC236}">
                <a16:creationId xmlns:a16="http://schemas.microsoft.com/office/drawing/2014/main" id="{EB03D222-BDFF-41D4-8826-09FBA956AFB4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603" name="Freeform: Shape 2602">
            <a:extLst>
              <a:ext uri="{FF2B5EF4-FFF2-40B4-BE49-F238E27FC236}">
                <a16:creationId xmlns:a16="http://schemas.microsoft.com/office/drawing/2014/main" id="{0D804A47-B988-4EBC-A45B-8AFA98D7BE6E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633" name="Straight Connector 2632">
            <a:extLst>
              <a:ext uri="{FF2B5EF4-FFF2-40B4-BE49-F238E27FC236}">
                <a16:creationId xmlns:a16="http://schemas.microsoft.com/office/drawing/2014/main" id="{4DFE520B-97A0-4A8A-B622-BEA79178FE3F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9" name="Straight Connector 2798">
            <a:extLst>
              <a:ext uri="{FF2B5EF4-FFF2-40B4-BE49-F238E27FC236}">
                <a16:creationId xmlns:a16="http://schemas.microsoft.com/office/drawing/2014/main" id="{6D7816F5-2D03-4DA3-BD37-6EFCB7487369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0" name="Straight Connector 2799">
            <a:extLst>
              <a:ext uri="{FF2B5EF4-FFF2-40B4-BE49-F238E27FC236}">
                <a16:creationId xmlns:a16="http://schemas.microsoft.com/office/drawing/2014/main" id="{6B974D45-946F-4E17-8060-4577ADA98255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2" name="Straight Connector 2801">
            <a:extLst>
              <a:ext uri="{FF2B5EF4-FFF2-40B4-BE49-F238E27FC236}">
                <a16:creationId xmlns:a16="http://schemas.microsoft.com/office/drawing/2014/main" id="{8D2A2872-81AA-4A1B-B1A2-24CB807CADCC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3" name="Straight Connector 2802">
            <a:extLst>
              <a:ext uri="{FF2B5EF4-FFF2-40B4-BE49-F238E27FC236}">
                <a16:creationId xmlns:a16="http://schemas.microsoft.com/office/drawing/2014/main" id="{92C94C9A-B9AB-4188-A9B9-68151AC716CE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4" name="Straight Connector 2803">
            <a:extLst>
              <a:ext uri="{FF2B5EF4-FFF2-40B4-BE49-F238E27FC236}">
                <a16:creationId xmlns:a16="http://schemas.microsoft.com/office/drawing/2014/main" id="{328739CD-29F6-42E1-A831-1A13B5042C06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5" name="Straight Connector 2804">
            <a:extLst>
              <a:ext uri="{FF2B5EF4-FFF2-40B4-BE49-F238E27FC236}">
                <a16:creationId xmlns:a16="http://schemas.microsoft.com/office/drawing/2014/main" id="{54685276-3C5D-46DA-898F-26339DFA34B3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6" name="Straight Connector 2805">
            <a:extLst>
              <a:ext uri="{FF2B5EF4-FFF2-40B4-BE49-F238E27FC236}">
                <a16:creationId xmlns:a16="http://schemas.microsoft.com/office/drawing/2014/main" id="{06DC6EC5-3B0C-41F9-9292-CD45F284C392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7" name="Straight Connector 2806">
            <a:extLst>
              <a:ext uri="{FF2B5EF4-FFF2-40B4-BE49-F238E27FC236}">
                <a16:creationId xmlns:a16="http://schemas.microsoft.com/office/drawing/2014/main" id="{CDB82DC4-3AA4-4D33-B982-DC2C630DFDC8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8" name="Straight Connector 2807">
            <a:extLst>
              <a:ext uri="{FF2B5EF4-FFF2-40B4-BE49-F238E27FC236}">
                <a16:creationId xmlns:a16="http://schemas.microsoft.com/office/drawing/2014/main" id="{E19D9821-E466-4DF0-9C58-693A5CEBF903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09" name="Freeform: Shape 2808">
            <a:extLst>
              <a:ext uri="{FF2B5EF4-FFF2-40B4-BE49-F238E27FC236}">
                <a16:creationId xmlns:a16="http://schemas.microsoft.com/office/drawing/2014/main" id="{0AAAF8A1-5F48-4466-98D5-9CF212969D44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71438</xdr:colOff>
      <xdr:row>3</xdr:row>
      <xdr:rowOff>61913</xdr:rowOff>
    </xdr:from>
    <xdr:to>
      <xdr:col>31</xdr:col>
      <xdr:colOff>90488</xdr:colOff>
      <xdr:row>50</xdr:row>
      <xdr:rowOff>85725</xdr:rowOff>
    </xdr:to>
    <xdr:grpSp>
      <xdr:nvGrpSpPr>
        <xdr:cNvPr id="264" name="Group 263">
          <a:extLst>
            <a:ext uri="{FF2B5EF4-FFF2-40B4-BE49-F238E27FC236}">
              <a16:creationId xmlns:a16="http://schemas.microsoft.com/office/drawing/2014/main" id="{A0C3CD05-CA7D-4079-A24C-1F4196F07D51}"/>
            </a:ext>
          </a:extLst>
        </xdr:cNvPr>
        <xdr:cNvGrpSpPr/>
      </xdr:nvGrpSpPr>
      <xdr:grpSpPr>
        <a:xfrm>
          <a:off x="395288" y="976313"/>
          <a:ext cx="4714875" cy="6738937"/>
          <a:chOff x="395288" y="89777888"/>
          <a:chExt cx="4714875" cy="6738937"/>
        </a:xfrm>
      </xdr:grpSpPr>
      <xdr:cxnSp macro="">
        <xdr:nvCxnSpPr>
          <xdr:cNvPr id="2995" name="Straight Connector 2994">
            <a:extLst>
              <a:ext uri="{FF2B5EF4-FFF2-40B4-BE49-F238E27FC236}">
                <a16:creationId xmlns:a16="http://schemas.microsoft.com/office/drawing/2014/main" id="{173C503E-0B99-4929-B590-606BB3ABCB58}"/>
              </a:ext>
            </a:extLst>
          </xdr:cNvPr>
          <xdr:cNvCxnSpPr/>
        </xdr:nvCxnSpPr>
        <xdr:spPr>
          <a:xfrm>
            <a:off x="1138238" y="94888050"/>
            <a:ext cx="1619250" cy="333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6" name="Straight Connector 2915">
            <a:extLst>
              <a:ext uri="{FF2B5EF4-FFF2-40B4-BE49-F238E27FC236}">
                <a16:creationId xmlns:a16="http://schemas.microsoft.com/office/drawing/2014/main" id="{329FEEA9-2A60-4ABC-BDF7-936CE4581C21}"/>
              </a:ext>
            </a:extLst>
          </xdr:cNvPr>
          <xdr:cNvCxnSpPr/>
        </xdr:nvCxnSpPr>
        <xdr:spPr>
          <a:xfrm>
            <a:off x="1138238" y="92529021"/>
            <a:ext cx="1614487" cy="5397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2" name="Straight Connector 2811">
            <a:extLst>
              <a:ext uri="{FF2B5EF4-FFF2-40B4-BE49-F238E27FC236}">
                <a16:creationId xmlns:a16="http://schemas.microsoft.com/office/drawing/2014/main" id="{BF43AC37-6EE0-4DFF-80D4-69087A69B4EB}"/>
              </a:ext>
            </a:extLst>
          </xdr:cNvPr>
          <xdr:cNvCxnSpPr/>
        </xdr:nvCxnSpPr>
        <xdr:spPr>
          <a:xfrm>
            <a:off x="1128713" y="94511813"/>
            <a:ext cx="162877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3" name="Straight Connector 2812">
            <a:extLst>
              <a:ext uri="{FF2B5EF4-FFF2-40B4-BE49-F238E27FC236}">
                <a16:creationId xmlns:a16="http://schemas.microsoft.com/office/drawing/2014/main" id="{764181B7-4F3D-4CD3-BE63-5511E8AF2D6A}"/>
              </a:ext>
            </a:extLst>
          </xdr:cNvPr>
          <xdr:cNvCxnSpPr/>
        </xdr:nvCxnSpPr>
        <xdr:spPr>
          <a:xfrm flipH="1">
            <a:off x="2757488" y="90435113"/>
            <a:ext cx="642938" cy="1714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4" name="Straight Connector 2813">
            <a:extLst>
              <a:ext uri="{FF2B5EF4-FFF2-40B4-BE49-F238E27FC236}">
                <a16:creationId xmlns:a16="http://schemas.microsoft.com/office/drawing/2014/main" id="{C309AF80-D84D-4F29-9C6D-EF2DB3DD05E9}"/>
              </a:ext>
            </a:extLst>
          </xdr:cNvPr>
          <xdr:cNvCxnSpPr/>
        </xdr:nvCxnSpPr>
        <xdr:spPr>
          <a:xfrm>
            <a:off x="1390650" y="90430350"/>
            <a:ext cx="1362075" cy="183482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5" name="Straight Connector 2814">
            <a:extLst>
              <a:ext uri="{FF2B5EF4-FFF2-40B4-BE49-F238E27FC236}">
                <a16:creationId xmlns:a16="http://schemas.microsoft.com/office/drawing/2014/main" id="{A7054AEC-2CC1-4B16-9FD1-8EEE8E40F76A}"/>
              </a:ext>
            </a:extLst>
          </xdr:cNvPr>
          <xdr:cNvCxnSpPr/>
        </xdr:nvCxnSpPr>
        <xdr:spPr>
          <a:xfrm>
            <a:off x="1133475" y="91606688"/>
            <a:ext cx="1619250" cy="1000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0" name="Straight Connector 2819">
            <a:extLst>
              <a:ext uri="{FF2B5EF4-FFF2-40B4-BE49-F238E27FC236}">
                <a16:creationId xmlns:a16="http://schemas.microsoft.com/office/drawing/2014/main" id="{5450301A-D8AD-4860-9385-611C8F3CA582}"/>
              </a:ext>
            </a:extLst>
          </xdr:cNvPr>
          <xdr:cNvCxnSpPr/>
        </xdr:nvCxnSpPr>
        <xdr:spPr>
          <a:xfrm>
            <a:off x="1133475" y="92097225"/>
            <a:ext cx="1624013" cy="7286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1" name="Straight Connector 2820">
            <a:extLst>
              <a:ext uri="{FF2B5EF4-FFF2-40B4-BE49-F238E27FC236}">
                <a16:creationId xmlns:a16="http://schemas.microsoft.com/office/drawing/2014/main" id="{02633F0F-8A7D-4648-8C33-9AC8F1DA1F37}"/>
              </a:ext>
            </a:extLst>
          </xdr:cNvPr>
          <xdr:cNvCxnSpPr/>
        </xdr:nvCxnSpPr>
        <xdr:spPr>
          <a:xfrm>
            <a:off x="1143000" y="92954475"/>
            <a:ext cx="1609725" cy="395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2" name="Straight Connector 2821">
            <a:extLst>
              <a:ext uri="{FF2B5EF4-FFF2-40B4-BE49-F238E27FC236}">
                <a16:creationId xmlns:a16="http://schemas.microsoft.com/office/drawing/2014/main" id="{2FFDAEFB-1085-4B90-B08A-B1C0BF609E78}"/>
              </a:ext>
            </a:extLst>
          </xdr:cNvPr>
          <xdr:cNvCxnSpPr/>
        </xdr:nvCxnSpPr>
        <xdr:spPr>
          <a:xfrm>
            <a:off x="1138238" y="93345000"/>
            <a:ext cx="1614487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3" name="Straight Connector 2822">
            <a:extLst>
              <a:ext uri="{FF2B5EF4-FFF2-40B4-BE49-F238E27FC236}">
                <a16:creationId xmlns:a16="http://schemas.microsoft.com/office/drawing/2014/main" id="{E1906A44-555C-413E-81E1-354FE36665D0}"/>
              </a:ext>
            </a:extLst>
          </xdr:cNvPr>
          <xdr:cNvCxnSpPr/>
        </xdr:nvCxnSpPr>
        <xdr:spPr>
          <a:xfrm flipV="1">
            <a:off x="2752725" y="93345001"/>
            <a:ext cx="1619250" cy="309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4" name="Straight Connector 2823">
            <a:extLst>
              <a:ext uri="{FF2B5EF4-FFF2-40B4-BE49-F238E27FC236}">
                <a16:creationId xmlns:a16="http://schemas.microsoft.com/office/drawing/2014/main" id="{8A60902B-076C-4FB7-9B41-24F5BBFFF058}"/>
              </a:ext>
            </a:extLst>
          </xdr:cNvPr>
          <xdr:cNvCxnSpPr/>
        </xdr:nvCxnSpPr>
        <xdr:spPr>
          <a:xfrm flipV="1">
            <a:off x="2752726" y="92535375"/>
            <a:ext cx="1614487" cy="5339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5" name="Straight Connector 2824">
            <a:extLst>
              <a:ext uri="{FF2B5EF4-FFF2-40B4-BE49-F238E27FC236}">
                <a16:creationId xmlns:a16="http://schemas.microsoft.com/office/drawing/2014/main" id="{DF1DF08B-23C5-4549-A9EC-EB5AA371602F}"/>
              </a:ext>
            </a:extLst>
          </xdr:cNvPr>
          <xdr:cNvCxnSpPr/>
        </xdr:nvCxnSpPr>
        <xdr:spPr>
          <a:xfrm flipV="1">
            <a:off x="2752725" y="92125800"/>
            <a:ext cx="1624013" cy="695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6" name="Straight Connector 2825">
            <a:extLst>
              <a:ext uri="{FF2B5EF4-FFF2-40B4-BE49-F238E27FC236}">
                <a16:creationId xmlns:a16="http://schemas.microsoft.com/office/drawing/2014/main" id="{3761158A-0C5C-4611-99F7-DF912108C221}"/>
              </a:ext>
            </a:extLst>
          </xdr:cNvPr>
          <xdr:cNvCxnSpPr/>
        </xdr:nvCxnSpPr>
        <xdr:spPr>
          <a:xfrm flipV="1">
            <a:off x="2752725" y="91625738"/>
            <a:ext cx="1619250" cy="981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7" name="Straight Connector 2826">
            <a:extLst>
              <a:ext uri="{FF2B5EF4-FFF2-40B4-BE49-F238E27FC236}">
                <a16:creationId xmlns:a16="http://schemas.microsoft.com/office/drawing/2014/main" id="{FA45EB99-D3DC-475D-B7E3-099E4551EBBB}"/>
              </a:ext>
            </a:extLst>
          </xdr:cNvPr>
          <xdr:cNvCxnSpPr/>
        </xdr:nvCxnSpPr>
        <xdr:spPr>
          <a:xfrm flipH="1">
            <a:off x="2757488" y="90439875"/>
            <a:ext cx="1343026" cy="1828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8" name="Straight Connector 2827">
            <a:extLst>
              <a:ext uri="{FF2B5EF4-FFF2-40B4-BE49-F238E27FC236}">
                <a16:creationId xmlns:a16="http://schemas.microsoft.com/office/drawing/2014/main" id="{311AD9F9-FA84-48F3-9FEA-59B9D07D87D6}"/>
              </a:ext>
            </a:extLst>
          </xdr:cNvPr>
          <xdr:cNvCxnSpPr/>
        </xdr:nvCxnSpPr>
        <xdr:spPr>
          <a:xfrm flipV="1">
            <a:off x="2867025" y="90425588"/>
            <a:ext cx="533400" cy="143773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9" name="Straight Connector 2828">
            <a:extLst>
              <a:ext uri="{FF2B5EF4-FFF2-40B4-BE49-F238E27FC236}">
                <a16:creationId xmlns:a16="http://schemas.microsoft.com/office/drawing/2014/main" id="{ED77885A-DA6B-4E1D-B0CC-D9856098F5CB}"/>
              </a:ext>
            </a:extLst>
          </xdr:cNvPr>
          <xdr:cNvCxnSpPr/>
        </xdr:nvCxnSpPr>
        <xdr:spPr>
          <a:xfrm flipV="1">
            <a:off x="2752725" y="92949713"/>
            <a:ext cx="1614488" cy="4000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4" name="Straight Connector 2833">
            <a:extLst>
              <a:ext uri="{FF2B5EF4-FFF2-40B4-BE49-F238E27FC236}">
                <a16:creationId xmlns:a16="http://schemas.microsoft.com/office/drawing/2014/main" id="{6D6A9F06-4790-47AE-9DF8-BD04B221CBBE}"/>
              </a:ext>
            </a:extLst>
          </xdr:cNvPr>
          <xdr:cNvCxnSpPr/>
        </xdr:nvCxnSpPr>
        <xdr:spPr>
          <a:xfrm flipV="1">
            <a:off x="2752725" y="90292238"/>
            <a:ext cx="0" cy="5934075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5" name="Straight Connector 2834">
            <a:extLst>
              <a:ext uri="{FF2B5EF4-FFF2-40B4-BE49-F238E27FC236}">
                <a16:creationId xmlns:a16="http://schemas.microsoft.com/office/drawing/2014/main" id="{9E0ABCDD-4E2A-45E3-BDAB-11E60A38A419}"/>
              </a:ext>
            </a:extLst>
          </xdr:cNvPr>
          <xdr:cNvCxnSpPr/>
        </xdr:nvCxnSpPr>
        <xdr:spPr>
          <a:xfrm>
            <a:off x="2119313" y="90439875"/>
            <a:ext cx="633412" cy="1709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6" name="Straight Connector 2835">
            <a:extLst>
              <a:ext uri="{FF2B5EF4-FFF2-40B4-BE49-F238E27FC236}">
                <a16:creationId xmlns:a16="http://schemas.microsoft.com/office/drawing/2014/main" id="{5CF7DE71-9044-415C-9DA8-164CDEAD9B59}"/>
              </a:ext>
            </a:extLst>
          </xdr:cNvPr>
          <xdr:cNvCxnSpPr/>
        </xdr:nvCxnSpPr>
        <xdr:spPr>
          <a:xfrm>
            <a:off x="1143000" y="91044713"/>
            <a:ext cx="1614488" cy="1381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7" name="Straight Connector 2836">
            <a:extLst>
              <a:ext uri="{FF2B5EF4-FFF2-40B4-BE49-F238E27FC236}">
                <a16:creationId xmlns:a16="http://schemas.microsoft.com/office/drawing/2014/main" id="{EF9F2F76-73B9-4A4A-AD58-E12E8DA13AE8}"/>
              </a:ext>
            </a:extLst>
          </xdr:cNvPr>
          <xdr:cNvCxnSpPr/>
        </xdr:nvCxnSpPr>
        <xdr:spPr>
          <a:xfrm flipV="1">
            <a:off x="2752725" y="91039950"/>
            <a:ext cx="1619250" cy="1381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8" name="Straight Connector 2837">
            <a:extLst>
              <a:ext uri="{FF2B5EF4-FFF2-40B4-BE49-F238E27FC236}">
                <a16:creationId xmlns:a16="http://schemas.microsoft.com/office/drawing/2014/main" id="{588A1D5D-A632-4AF7-AEFD-CC4DB529C185}"/>
              </a:ext>
            </a:extLst>
          </xdr:cNvPr>
          <xdr:cNvCxnSpPr/>
        </xdr:nvCxnSpPr>
        <xdr:spPr>
          <a:xfrm flipV="1">
            <a:off x="2752725" y="90430350"/>
            <a:ext cx="0" cy="142875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9" name="Straight Connector 2838">
            <a:extLst>
              <a:ext uri="{FF2B5EF4-FFF2-40B4-BE49-F238E27FC236}">
                <a16:creationId xmlns:a16="http://schemas.microsoft.com/office/drawing/2014/main" id="{AECFD6F7-8BE2-4084-9A7B-0526FAA0995F}"/>
              </a:ext>
            </a:extLst>
          </xdr:cNvPr>
          <xdr:cNvCxnSpPr/>
        </xdr:nvCxnSpPr>
        <xdr:spPr>
          <a:xfrm flipH="1" flipV="1">
            <a:off x="2114550" y="90435113"/>
            <a:ext cx="532853" cy="14239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1" name="Straight Connector 2840">
            <a:extLst>
              <a:ext uri="{FF2B5EF4-FFF2-40B4-BE49-F238E27FC236}">
                <a16:creationId xmlns:a16="http://schemas.microsoft.com/office/drawing/2014/main" id="{CCA2B4AF-1818-455F-84B0-40DA96503656}"/>
              </a:ext>
            </a:extLst>
          </xdr:cNvPr>
          <xdr:cNvCxnSpPr/>
        </xdr:nvCxnSpPr>
        <xdr:spPr>
          <a:xfrm flipH="1" flipV="1">
            <a:off x="1383591" y="90430350"/>
            <a:ext cx="1207210" cy="16287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2" name="Straight Connector 2841">
            <a:extLst>
              <a:ext uri="{FF2B5EF4-FFF2-40B4-BE49-F238E27FC236}">
                <a16:creationId xmlns:a16="http://schemas.microsoft.com/office/drawing/2014/main" id="{01782FC8-19F0-43AB-BD5D-118281BA6AC1}"/>
              </a:ext>
            </a:extLst>
          </xdr:cNvPr>
          <xdr:cNvCxnSpPr/>
        </xdr:nvCxnSpPr>
        <xdr:spPr>
          <a:xfrm flipH="1">
            <a:off x="2919413" y="90435113"/>
            <a:ext cx="1181100" cy="160930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3" name="Straight Connector 2842">
            <a:extLst>
              <a:ext uri="{FF2B5EF4-FFF2-40B4-BE49-F238E27FC236}">
                <a16:creationId xmlns:a16="http://schemas.microsoft.com/office/drawing/2014/main" id="{0F159D47-32B8-405D-9717-A5D116A3CDB9}"/>
              </a:ext>
            </a:extLst>
          </xdr:cNvPr>
          <xdr:cNvCxnSpPr/>
        </xdr:nvCxnSpPr>
        <xdr:spPr>
          <a:xfrm flipH="1" flipV="1">
            <a:off x="1138239" y="91048182"/>
            <a:ext cx="1445362" cy="123478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4" name="Straight Connector 2843">
            <a:extLst>
              <a:ext uri="{FF2B5EF4-FFF2-40B4-BE49-F238E27FC236}">
                <a16:creationId xmlns:a16="http://schemas.microsoft.com/office/drawing/2014/main" id="{4A299B01-869A-4FCB-8215-37894C08B886}"/>
              </a:ext>
            </a:extLst>
          </xdr:cNvPr>
          <xdr:cNvCxnSpPr/>
        </xdr:nvCxnSpPr>
        <xdr:spPr>
          <a:xfrm flipH="1">
            <a:off x="2914650" y="91049475"/>
            <a:ext cx="1457326" cy="12382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5" name="Straight Connector 2844">
            <a:extLst>
              <a:ext uri="{FF2B5EF4-FFF2-40B4-BE49-F238E27FC236}">
                <a16:creationId xmlns:a16="http://schemas.microsoft.com/office/drawing/2014/main" id="{AE0D1090-C7A6-4B1C-9829-BFC5A1B4936B}"/>
              </a:ext>
            </a:extLst>
          </xdr:cNvPr>
          <xdr:cNvCxnSpPr/>
        </xdr:nvCxnSpPr>
        <xdr:spPr>
          <a:xfrm flipH="1" flipV="1">
            <a:off x="1128714" y="91606688"/>
            <a:ext cx="1462086" cy="9001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6" name="Straight Connector 2845">
            <a:extLst>
              <a:ext uri="{FF2B5EF4-FFF2-40B4-BE49-F238E27FC236}">
                <a16:creationId xmlns:a16="http://schemas.microsoft.com/office/drawing/2014/main" id="{BF8C8590-4AB0-4F28-A2AE-94AA3F3118E4}"/>
              </a:ext>
            </a:extLst>
          </xdr:cNvPr>
          <xdr:cNvCxnSpPr/>
        </xdr:nvCxnSpPr>
        <xdr:spPr>
          <a:xfrm flipH="1">
            <a:off x="2919413" y="91620975"/>
            <a:ext cx="1452563" cy="8953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7" name="Straight Connector 2846">
            <a:extLst>
              <a:ext uri="{FF2B5EF4-FFF2-40B4-BE49-F238E27FC236}">
                <a16:creationId xmlns:a16="http://schemas.microsoft.com/office/drawing/2014/main" id="{467D8173-2CBF-4EFA-8016-146F37877E59}"/>
              </a:ext>
            </a:extLst>
          </xdr:cNvPr>
          <xdr:cNvCxnSpPr/>
        </xdr:nvCxnSpPr>
        <xdr:spPr>
          <a:xfrm flipH="1" flipV="1">
            <a:off x="1133475" y="92092463"/>
            <a:ext cx="1462088" cy="6619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8" name="Straight Connector 2847">
            <a:extLst>
              <a:ext uri="{FF2B5EF4-FFF2-40B4-BE49-F238E27FC236}">
                <a16:creationId xmlns:a16="http://schemas.microsoft.com/office/drawing/2014/main" id="{3186F440-0A76-4C79-AA17-7904E484EB77}"/>
              </a:ext>
            </a:extLst>
          </xdr:cNvPr>
          <xdr:cNvCxnSpPr/>
        </xdr:nvCxnSpPr>
        <xdr:spPr>
          <a:xfrm flipH="1">
            <a:off x="2909888" y="92125800"/>
            <a:ext cx="1471613" cy="63341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9" name="Straight Connector 2848">
            <a:extLst>
              <a:ext uri="{FF2B5EF4-FFF2-40B4-BE49-F238E27FC236}">
                <a16:creationId xmlns:a16="http://schemas.microsoft.com/office/drawing/2014/main" id="{5D27EF68-F25A-42B7-87A0-869FDE5F8A19}"/>
              </a:ext>
            </a:extLst>
          </xdr:cNvPr>
          <xdr:cNvCxnSpPr/>
        </xdr:nvCxnSpPr>
        <xdr:spPr>
          <a:xfrm flipH="1" flipV="1">
            <a:off x="1128713" y="92530613"/>
            <a:ext cx="1466850" cy="4857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0" name="Straight Connector 2849">
            <a:extLst>
              <a:ext uri="{FF2B5EF4-FFF2-40B4-BE49-F238E27FC236}">
                <a16:creationId xmlns:a16="http://schemas.microsoft.com/office/drawing/2014/main" id="{8043B1E4-E075-4171-A5B2-48B092CF3D25}"/>
              </a:ext>
            </a:extLst>
          </xdr:cNvPr>
          <xdr:cNvCxnSpPr/>
        </xdr:nvCxnSpPr>
        <xdr:spPr>
          <a:xfrm flipH="1">
            <a:off x="2919413" y="92540138"/>
            <a:ext cx="1452562" cy="4714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1" name="Straight Connector 2850">
            <a:extLst>
              <a:ext uri="{FF2B5EF4-FFF2-40B4-BE49-F238E27FC236}">
                <a16:creationId xmlns:a16="http://schemas.microsoft.com/office/drawing/2014/main" id="{F6CEA6F6-F373-49A5-B23B-0F24DE85461F}"/>
              </a:ext>
            </a:extLst>
          </xdr:cNvPr>
          <xdr:cNvCxnSpPr/>
        </xdr:nvCxnSpPr>
        <xdr:spPr>
          <a:xfrm flipH="1" flipV="1">
            <a:off x="1138238" y="92949714"/>
            <a:ext cx="1457325" cy="36194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2" name="Straight Connector 2851">
            <a:extLst>
              <a:ext uri="{FF2B5EF4-FFF2-40B4-BE49-F238E27FC236}">
                <a16:creationId xmlns:a16="http://schemas.microsoft.com/office/drawing/2014/main" id="{4044C7E3-F465-4829-9A80-5636DAD3B2BC}"/>
              </a:ext>
            </a:extLst>
          </xdr:cNvPr>
          <xdr:cNvCxnSpPr/>
        </xdr:nvCxnSpPr>
        <xdr:spPr>
          <a:xfrm flipH="1">
            <a:off x="2919413" y="92949707"/>
            <a:ext cx="1452562" cy="35719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3" name="Straight Connector 2852">
            <a:extLst>
              <a:ext uri="{FF2B5EF4-FFF2-40B4-BE49-F238E27FC236}">
                <a16:creationId xmlns:a16="http://schemas.microsoft.com/office/drawing/2014/main" id="{E0E83ADC-530F-4A3E-A3B7-511BC342895F}"/>
              </a:ext>
            </a:extLst>
          </xdr:cNvPr>
          <xdr:cNvCxnSpPr/>
        </xdr:nvCxnSpPr>
        <xdr:spPr>
          <a:xfrm flipH="1" flipV="1">
            <a:off x="1133475" y="93349764"/>
            <a:ext cx="1452563" cy="26669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4" name="Straight Connector 2853">
            <a:extLst>
              <a:ext uri="{FF2B5EF4-FFF2-40B4-BE49-F238E27FC236}">
                <a16:creationId xmlns:a16="http://schemas.microsoft.com/office/drawing/2014/main" id="{46D9C42C-349C-4825-A702-A8EF48AB8FDE}"/>
              </a:ext>
            </a:extLst>
          </xdr:cNvPr>
          <xdr:cNvCxnSpPr/>
        </xdr:nvCxnSpPr>
        <xdr:spPr>
          <a:xfrm flipH="1">
            <a:off x="2914650" y="93345000"/>
            <a:ext cx="1462089" cy="2762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5" name="Straight Connector 2854">
            <a:extLst>
              <a:ext uri="{FF2B5EF4-FFF2-40B4-BE49-F238E27FC236}">
                <a16:creationId xmlns:a16="http://schemas.microsoft.com/office/drawing/2014/main" id="{F95272A5-C018-4E9A-A61B-0A13D86EFED3}"/>
              </a:ext>
            </a:extLst>
          </xdr:cNvPr>
          <xdr:cNvCxnSpPr/>
        </xdr:nvCxnSpPr>
        <xdr:spPr>
          <a:xfrm>
            <a:off x="1066799" y="96145350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6" name="Straight Connector 2855">
            <a:extLst>
              <a:ext uri="{FF2B5EF4-FFF2-40B4-BE49-F238E27FC236}">
                <a16:creationId xmlns:a16="http://schemas.microsoft.com/office/drawing/2014/main" id="{00F72FEA-EBE6-4DDD-B2E5-A061171C486D}"/>
              </a:ext>
            </a:extLst>
          </xdr:cNvPr>
          <xdr:cNvCxnSpPr/>
        </xdr:nvCxnSpPr>
        <xdr:spPr>
          <a:xfrm>
            <a:off x="1133475" y="95345250"/>
            <a:ext cx="0" cy="11525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7" name="Straight Connector 2856">
            <a:extLst>
              <a:ext uri="{FF2B5EF4-FFF2-40B4-BE49-F238E27FC236}">
                <a16:creationId xmlns:a16="http://schemas.microsoft.com/office/drawing/2014/main" id="{ACEE1BA5-185D-4D52-89B8-8E8B6E8BABCF}"/>
              </a:ext>
            </a:extLst>
          </xdr:cNvPr>
          <xdr:cNvCxnSpPr/>
        </xdr:nvCxnSpPr>
        <xdr:spPr>
          <a:xfrm flipH="1">
            <a:off x="1090613" y="961072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8" name="Straight Connector 2857">
            <a:extLst>
              <a:ext uri="{FF2B5EF4-FFF2-40B4-BE49-F238E27FC236}">
                <a16:creationId xmlns:a16="http://schemas.microsoft.com/office/drawing/2014/main" id="{302FA37A-FE41-4407-9744-D8F8B4F74508}"/>
              </a:ext>
            </a:extLst>
          </xdr:cNvPr>
          <xdr:cNvCxnSpPr/>
        </xdr:nvCxnSpPr>
        <xdr:spPr>
          <a:xfrm>
            <a:off x="4371975" y="95345250"/>
            <a:ext cx="0" cy="1171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9" name="Straight Connector 2858">
            <a:extLst>
              <a:ext uri="{FF2B5EF4-FFF2-40B4-BE49-F238E27FC236}">
                <a16:creationId xmlns:a16="http://schemas.microsoft.com/office/drawing/2014/main" id="{F989FFA2-8F89-47A7-8B68-8B158D41B955}"/>
              </a:ext>
            </a:extLst>
          </xdr:cNvPr>
          <xdr:cNvCxnSpPr/>
        </xdr:nvCxnSpPr>
        <xdr:spPr>
          <a:xfrm flipH="1">
            <a:off x="4329113" y="9610724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0" name="Straight Connector 2859">
            <a:extLst>
              <a:ext uri="{FF2B5EF4-FFF2-40B4-BE49-F238E27FC236}">
                <a16:creationId xmlns:a16="http://schemas.microsoft.com/office/drawing/2014/main" id="{B64C1396-2470-49AE-B6D6-68E3203C3256}"/>
              </a:ext>
            </a:extLst>
          </xdr:cNvPr>
          <xdr:cNvCxnSpPr/>
        </xdr:nvCxnSpPr>
        <xdr:spPr>
          <a:xfrm flipH="1">
            <a:off x="2709862" y="9610725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1" name="Straight Connector 2860">
            <a:extLst>
              <a:ext uri="{FF2B5EF4-FFF2-40B4-BE49-F238E27FC236}">
                <a16:creationId xmlns:a16="http://schemas.microsoft.com/office/drawing/2014/main" id="{6C1F26CF-FEED-4A9A-8FD9-476F5C0375FD}"/>
              </a:ext>
            </a:extLst>
          </xdr:cNvPr>
          <xdr:cNvCxnSpPr/>
        </xdr:nvCxnSpPr>
        <xdr:spPr>
          <a:xfrm>
            <a:off x="1066800" y="95573850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2" name="Straight Connector 2861">
            <a:extLst>
              <a:ext uri="{FF2B5EF4-FFF2-40B4-BE49-F238E27FC236}">
                <a16:creationId xmlns:a16="http://schemas.microsoft.com/office/drawing/2014/main" id="{B855D03A-53A2-4C69-9D6C-64D0F26A3C49}"/>
              </a:ext>
            </a:extLst>
          </xdr:cNvPr>
          <xdr:cNvCxnSpPr/>
        </xdr:nvCxnSpPr>
        <xdr:spPr>
          <a:xfrm>
            <a:off x="2590800" y="95335725"/>
            <a:ext cx="0" cy="3095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3" name="Straight Connector 2862">
            <a:extLst>
              <a:ext uri="{FF2B5EF4-FFF2-40B4-BE49-F238E27FC236}">
                <a16:creationId xmlns:a16="http://schemas.microsoft.com/office/drawing/2014/main" id="{08BB694A-697D-406C-9B3E-D62F44B87054}"/>
              </a:ext>
            </a:extLst>
          </xdr:cNvPr>
          <xdr:cNvCxnSpPr/>
        </xdr:nvCxnSpPr>
        <xdr:spPr>
          <a:xfrm flipH="1">
            <a:off x="2543175" y="95530987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4" name="Straight Connector 2863">
            <a:extLst>
              <a:ext uri="{FF2B5EF4-FFF2-40B4-BE49-F238E27FC236}">
                <a16:creationId xmlns:a16="http://schemas.microsoft.com/office/drawing/2014/main" id="{97ADC8D0-1A48-484F-9393-1ABE0E670E4C}"/>
              </a:ext>
            </a:extLst>
          </xdr:cNvPr>
          <xdr:cNvCxnSpPr/>
        </xdr:nvCxnSpPr>
        <xdr:spPr>
          <a:xfrm>
            <a:off x="2914650" y="95335725"/>
            <a:ext cx="0" cy="3095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5" name="Straight Connector 2864">
            <a:extLst>
              <a:ext uri="{FF2B5EF4-FFF2-40B4-BE49-F238E27FC236}">
                <a16:creationId xmlns:a16="http://schemas.microsoft.com/office/drawing/2014/main" id="{77F57FC1-28B9-4146-9474-FECBBB1A76AE}"/>
              </a:ext>
            </a:extLst>
          </xdr:cNvPr>
          <xdr:cNvCxnSpPr/>
        </xdr:nvCxnSpPr>
        <xdr:spPr>
          <a:xfrm flipH="1">
            <a:off x="2867025" y="9553098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6" name="Straight Connector 2865">
            <a:extLst>
              <a:ext uri="{FF2B5EF4-FFF2-40B4-BE49-F238E27FC236}">
                <a16:creationId xmlns:a16="http://schemas.microsoft.com/office/drawing/2014/main" id="{DD1657DB-896D-4112-A83E-3D6F27CC389F}"/>
              </a:ext>
            </a:extLst>
          </xdr:cNvPr>
          <xdr:cNvCxnSpPr/>
        </xdr:nvCxnSpPr>
        <xdr:spPr>
          <a:xfrm flipH="1">
            <a:off x="3190882" y="93926026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7" name="Straight Connector 2866">
            <a:extLst>
              <a:ext uri="{FF2B5EF4-FFF2-40B4-BE49-F238E27FC236}">
                <a16:creationId xmlns:a16="http://schemas.microsoft.com/office/drawing/2014/main" id="{9AE86BB6-E59F-49B2-B9D1-10F58757C83E}"/>
              </a:ext>
            </a:extLst>
          </xdr:cNvPr>
          <xdr:cNvCxnSpPr/>
        </xdr:nvCxnSpPr>
        <xdr:spPr>
          <a:xfrm>
            <a:off x="1895475" y="95207147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8" name="Straight Connector 2867">
            <a:extLst>
              <a:ext uri="{FF2B5EF4-FFF2-40B4-BE49-F238E27FC236}">
                <a16:creationId xmlns:a16="http://schemas.microsoft.com/office/drawing/2014/main" id="{1ADDD42F-9053-4400-9CEE-863058AAEC4C}"/>
              </a:ext>
            </a:extLst>
          </xdr:cNvPr>
          <xdr:cNvCxnSpPr/>
        </xdr:nvCxnSpPr>
        <xdr:spPr>
          <a:xfrm>
            <a:off x="1824037" y="95202386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9" name="Straight Connector 2868">
            <a:extLst>
              <a:ext uri="{FF2B5EF4-FFF2-40B4-BE49-F238E27FC236}">
                <a16:creationId xmlns:a16="http://schemas.microsoft.com/office/drawing/2014/main" id="{9F62988F-5A01-4444-933E-6D6A2E0EA125}"/>
              </a:ext>
            </a:extLst>
          </xdr:cNvPr>
          <xdr:cNvCxnSpPr/>
        </xdr:nvCxnSpPr>
        <xdr:spPr>
          <a:xfrm flipH="1">
            <a:off x="1090613" y="95535742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0" name="Straight Connector 2869">
            <a:extLst>
              <a:ext uri="{FF2B5EF4-FFF2-40B4-BE49-F238E27FC236}">
                <a16:creationId xmlns:a16="http://schemas.microsoft.com/office/drawing/2014/main" id="{F443475D-0472-4F44-9BA5-757A5D9A9354}"/>
              </a:ext>
            </a:extLst>
          </xdr:cNvPr>
          <xdr:cNvCxnSpPr/>
        </xdr:nvCxnSpPr>
        <xdr:spPr>
          <a:xfrm>
            <a:off x="1857375" y="9571672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1" name="Straight Connector 2870">
            <a:extLst>
              <a:ext uri="{FF2B5EF4-FFF2-40B4-BE49-F238E27FC236}">
                <a16:creationId xmlns:a16="http://schemas.microsoft.com/office/drawing/2014/main" id="{FDE92D72-CA06-4A1B-9E8B-217DF16E4118}"/>
              </a:ext>
            </a:extLst>
          </xdr:cNvPr>
          <xdr:cNvCxnSpPr/>
        </xdr:nvCxnSpPr>
        <xdr:spPr>
          <a:xfrm>
            <a:off x="3648075" y="9560718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2" name="Straight Connector 2871">
            <a:extLst>
              <a:ext uri="{FF2B5EF4-FFF2-40B4-BE49-F238E27FC236}">
                <a16:creationId xmlns:a16="http://schemas.microsoft.com/office/drawing/2014/main" id="{699051A1-909C-4BF9-A79D-7A389AC4F71B}"/>
              </a:ext>
            </a:extLst>
          </xdr:cNvPr>
          <xdr:cNvCxnSpPr/>
        </xdr:nvCxnSpPr>
        <xdr:spPr>
          <a:xfrm flipH="1">
            <a:off x="3605212" y="9582150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3" name="Straight Connector 2872">
            <a:extLst>
              <a:ext uri="{FF2B5EF4-FFF2-40B4-BE49-F238E27FC236}">
                <a16:creationId xmlns:a16="http://schemas.microsoft.com/office/drawing/2014/main" id="{71BF0445-EDB5-4463-A980-48D5390A14F3}"/>
              </a:ext>
            </a:extLst>
          </xdr:cNvPr>
          <xdr:cNvCxnSpPr/>
        </xdr:nvCxnSpPr>
        <xdr:spPr>
          <a:xfrm flipV="1">
            <a:off x="1133475" y="89792175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4" name="Straight Connector 2873">
            <a:extLst>
              <a:ext uri="{FF2B5EF4-FFF2-40B4-BE49-F238E27FC236}">
                <a16:creationId xmlns:a16="http://schemas.microsoft.com/office/drawing/2014/main" id="{445432E8-9804-4D71-B6AC-A53A92911355}"/>
              </a:ext>
            </a:extLst>
          </xdr:cNvPr>
          <xdr:cNvCxnSpPr/>
        </xdr:nvCxnSpPr>
        <xdr:spPr>
          <a:xfrm>
            <a:off x="1062038" y="9014460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5" name="Straight Connector 2874">
            <a:extLst>
              <a:ext uri="{FF2B5EF4-FFF2-40B4-BE49-F238E27FC236}">
                <a16:creationId xmlns:a16="http://schemas.microsoft.com/office/drawing/2014/main" id="{572C3A1F-14F2-4FC3-9DD3-8A74BE499193}"/>
              </a:ext>
            </a:extLst>
          </xdr:cNvPr>
          <xdr:cNvCxnSpPr/>
        </xdr:nvCxnSpPr>
        <xdr:spPr>
          <a:xfrm flipH="1">
            <a:off x="1090604" y="901065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6" name="Straight Connector 2875">
            <a:extLst>
              <a:ext uri="{FF2B5EF4-FFF2-40B4-BE49-F238E27FC236}">
                <a16:creationId xmlns:a16="http://schemas.microsoft.com/office/drawing/2014/main" id="{8EF3F9DB-5C03-4F58-8570-9056C413017F}"/>
              </a:ext>
            </a:extLst>
          </xdr:cNvPr>
          <xdr:cNvCxnSpPr/>
        </xdr:nvCxnSpPr>
        <xdr:spPr>
          <a:xfrm>
            <a:off x="1390654" y="90077925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7" name="Straight Connector 2876">
            <a:extLst>
              <a:ext uri="{FF2B5EF4-FFF2-40B4-BE49-F238E27FC236}">
                <a16:creationId xmlns:a16="http://schemas.microsoft.com/office/drawing/2014/main" id="{ADEFBED4-39FF-4732-A8F0-0A5F1ACAD344}"/>
              </a:ext>
            </a:extLst>
          </xdr:cNvPr>
          <xdr:cNvCxnSpPr/>
        </xdr:nvCxnSpPr>
        <xdr:spPr>
          <a:xfrm flipH="1">
            <a:off x="1347793" y="901017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8" name="Straight Connector 2877">
            <a:extLst>
              <a:ext uri="{FF2B5EF4-FFF2-40B4-BE49-F238E27FC236}">
                <a16:creationId xmlns:a16="http://schemas.microsoft.com/office/drawing/2014/main" id="{F984C29A-5CC0-473C-8E75-2680E8CCF35B}"/>
              </a:ext>
            </a:extLst>
          </xdr:cNvPr>
          <xdr:cNvCxnSpPr/>
        </xdr:nvCxnSpPr>
        <xdr:spPr>
          <a:xfrm>
            <a:off x="2752726" y="89777888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9" name="Straight Connector 2878">
            <a:extLst>
              <a:ext uri="{FF2B5EF4-FFF2-40B4-BE49-F238E27FC236}">
                <a16:creationId xmlns:a16="http://schemas.microsoft.com/office/drawing/2014/main" id="{0E11902B-C80D-4C8E-A96E-90E3B6BE277F}"/>
              </a:ext>
            </a:extLst>
          </xdr:cNvPr>
          <xdr:cNvCxnSpPr/>
        </xdr:nvCxnSpPr>
        <xdr:spPr>
          <a:xfrm>
            <a:off x="4090996" y="9008268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0" name="Straight Connector 2879">
            <a:extLst>
              <a:ext uri="{FF2B5EF4-FFF2-40B4-BE49-F238E27FC236}">
                <a16:creationId xmlns:a16="http://schemas.microsoft.com/office/drawing/2014/main" id="{CC7AA2E9-8A23-4E4F-AF1F-02A701CBA785}"/>
              </a:ext>
            </a:extLst>
          </xdr:cNvPr>
          <xdr:cNvCxnSpPr/>
        </xdr:nvCxnSpPr>
        <xdr:spPr>
          <a:xfrm flipH="1">
            <a:off x="4048134" y="9010649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1" name="Straight Connector 2880">
            <a:extLst>
              <a:ext uri="{FF2B5EF4-FFF2-40B4-BE49-F238E27FC236}">
                <a16:creationId xmlns:a16="http://schemas.microsoft.com/office/drawing/2014/main" id="{7FAF6D55-9301-496E-8E8A-8112EAE3D531}"/>
              </a:ext>
            </a:extLst>
          </xdr:cNvPr>
          <xdr:cNvCxnSpPr/>
        </xdr:nvCxnSpPr>
        <xdr:spPr>
          <a:xfrm flipV="1">
            <a:off x="4371975" y="89787412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2" name="Straight Connector 2881">
            <a:extLst>
              <a:ext uri="{FF2B5EF4-FFF2-40B4-BE49-F238E27FC236}">
                <a16:creationId xmlns:a16="http://schemas.microsoft.com/office/drawing/2014/main" id="{D41F254A-E3E9-4626-BADB-CBF68F96B7A4}"/>
              </a:ext>
            </a:extLst>
          </xdr:cNvPr>
          <xdr:cNvCxnSpPr/>
        </xdr:nvCxnSpPr>
        <xdr:spPr>
          <a:xfrm flipH="1">
            <a:off x="4333876" y="901017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3" name="Straight Connector 2882">
            <a:extLst>
              <a:ext uri="{FF2B5EF4-FFF2-40B4-BE49-F238E27FC236}">
                <a16:creationId xmlns:a16="http://schemas.microsoft.com/office/drawing/2014/main" id="{99C67BFA-7550-4EC6-AFE4-65ED40F46EB4}"/>
              </a:ext>
            </a:extLst>
          </xdr:cNvPr>
          <xdr:cNvCxnSpPr/>
        </xdr:nvCxnSpPr>
        <xdr:spPr>
          <a:xfrm>
            <a:off x="1057275" y="89858851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4" name="Straight Connector 2883">
            <a:extLst>
              <a:ext uri="{FF2B5EF4-FFF2-40B4-BE49-F238E27FC236}">
                <a16:creationId xmlns:a16="http://schemas.microsoft.com/office/drawing/2014/main" id="{FE6AA2A4-6D42-4C26-ABFA-C2375BD28097}"/>
              </a:ext>
            </a:extLst>
          </xdr:cNvPr>
          <xdr:cNvCxnSpPr/>
        </xdr:nvCxnSpPr>
        <xdr:spPr>
          <a:xfrm flipH="1">
            <a:off x="1085850" y="8982075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5" name="Straight Connector 2884">
            <a:extLst>
              <a:ext uri="{FF2B5EF4-FFF2-40B4-BE49-F238E27FC236}">
                <a16:creationId xmlns:a16="http://schemas.microsoft.com/office/drawing/2014/main" id="{DAE94E66-0620-4D27-91EF-7EBF989FA79C}"/>
              </a:ext>
            </a:extLst>
          </xdr:cNvPr>
          <xdr:cNvCxnSpPr/>
        </xdr:nvCxnSpPr>
        <xdr:spPr>
          <a:xfrm flipH="1">
            <a:off x="4324350" y="898159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6" name="Straight Connector 2885">
            <a:extLst>
              <a:ext uri="{FF2B5EF4-FFF2-40B4-BE49-F238E27FC236}">
                <a16:creationId xmlns:a16="http://schemas.microsoft.com/office/drawing/2014/main" id="{46904CE7-F6A0-414B-AC18-F93AEBFB6B33}"/>
              </a:ext>
            </a:extLst>
          </xdr:cNvPr>
          <xdr:cNvCxnSpPr/>
        </xdr:nvCxnSpPr>
        <xdr:spPr>
          <a:xfrm flipH="1">
            <a:off x="2705101" y="898159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7" name="Straight Connector 2886">
            <a:extLst>
              <a:ext uri="{FF2B5EF4-FFF2-40B4-BE49-F238E27FC236}">
                <a16:creationId xmlns:a16="http://schemas.microsoft.com/office/drawing/2014/main" id="{A59E4953-7963-4C2B-A9D7-994578DA6FA4}"/>
              </a:ext>
            </a:extLst>
          </xdr:cNvPr>
          <xdr:cNvCxnSpPr/>
        </xdr:nvCxnSpPr>
        <xdr:spPr>
          <a:xfrm flipH="1">
            <a:off x="2705101" y="901065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8" name="Straight Connector 2887">
            <a:extLst>
              <a:ext uri="{FF2B5EF4-FFF2-40B4-BE49-F238E27FC236}">
                <a16:creationId xmlns:a16="http://schemas.microsoft.com/office/drawing/2014/main" id="{F597AC0C-9E16-45EB-B3E0-8228E82C3702}"/>
              </a:ext>
            </a:extLst>
          </xdr:cNvPr>
          <xdr:cNvCxnSpPr/>
        </xdr:nvCxnSpPr>
        <xdr:spPr>
          <a:xfrm flipH="1">
            <a:off x="409575" y="9043035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9" name="Straight Connector 2888">
            <a:extLst>
              <a:ext uri="{FF2B5EF4-FFF2-40B4-BE49-F238E27FC236}">
                <a16:creationId xmlns:a16="http://schemas.microsoft.com/office/drawing/2014/main" id="{433FCE7B-23E5-4B80-8DA8-DE4F49E66692}"/>
              </a:ext>
            </a:extLst>
          </xdr:cNvPr>
          <xdr:cNvCxnSpPr/>
        </xdr:nvCxnSpPr>
        <xdr:spPr>
          <a:xfrm>
            <a:off x="809626" y="90363675"/>
            <a:ext cx="0" cy="50101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0" name="Straight Connector 2889">
            <a:extLst>
              <a:ext uri="{FF2B5EF4-FFF2-40B4-BE49-F238E27FC236}">
                <a16:creationId xmlns:a16="http://schemas.microsoft.com/office/drawing/2014/main" id="{8A76ED34-A429-49F6-9150-C0C07B390BE5}"/>
              </a:ext>
            </a:extLst>
          </xdr:cNvPr>
          <xdr:cNvCxnSpPr/>
        </xdr:nvCxnSpPr>
        <xdr:spPr>
          <a:xfrm flipH="1">
            <a:off x="766763" y="9039225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1" name="Straight Connector 2890">
            <a:extLst>
              <a:ext uri="{FF2B5EF4-FFF2-40B4-BE49-F238E27FC236}">
                <a16:creationId xmlns:a16="http://schemas.microsoft.com/office/drawing/2014/main" id="{614504B7-796B-4AF8-A190-DDC83C8B8C83}"/>
              </a:ext>
            </a:extLst>
          </xdr:cNvPr>
          <xdr:cNvCxnSpPr/>
        </xdr:nvCxnSpPr>
        <xdr:spPr>
          <a:xfrm flipH="1">
            <a:off x="723900" y="91044703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2" name="Straight Connector 2891">
            <a:extLst>
              <a:ext uri="{FF2B5EF4-FFF2-40B4-BE49-F238E27FC236}">
                <a16:creationId xmlns:a16="http://schemas.microsoft.com/office/drawing/2014/main" id="{0AEE47E0-4D83-465A-8BB1-D9FC26D1D935}"/>
              </a:ext>
            </a:extLst>
          </xdr:cNvPr>
          <xdr:cNvCxnSpPr/>
        </xdr:nvCxnSpPr>
        <xdr:spPr>
          <a:xfrm flipH="1">
            <a:off x="762000" y="9100660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3" name="Straight Connector 2892">
            <a:extLst>
              <a:ext uri="{FF2B5EF4-FFF2-40B4-BE49-F238E27FC236}">
                <a16:creationId xmlns:a16="http://schemas.microsoft.com/office/drawing/2014/main" id="{157E16F4-26B3-4081-AE1A-84FFB12B05BC}"/>
              </a:ext>
            </a:extLst>
          </xdr:cNvPr>
          <xdr:cNvCxnSpPr/>
        </xdr:nvCxnSpPr>
        <xdr:spPr>
          <a:xfrm flipH="1">
            <a:off x="723900" y="9208293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4" name="Straight Connector 2893">
            <a:extLst>
              <a:ext uri="{FF2B5EF4-FFF2-40B4-BE49-F238E27FC236}">
                <a16:creationId xmlns:a16="http://schemas.microsoft.com/office/drawing/2014/main" id="{5386D172-2C7F-423A-9D15-DC407FECF735}"/>
              </a:ext>
            </a:extLst>
          </xdr:cNvPr>
          <xdr:cNvCxnSpPr/>
        </xdr:nvCxnSpPr>
        <xdr:spPr>
          <a:xfrm flipH="1">
            <a:off x="762000" y="9204483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5" name="Straight Connector 2894">
            <a:extLst>
              <a:ext uri="{FF2B5EF4-FFF2-40B4-BE49-F238E27FC236}">
                <a16:creationId xmlns:a16="http://schemas.microsoft.com/office/drawing/2014/main" id="{9EC60D48-5C17-4B60-922F-B4FBF930E9EA}"/>
              </a:ext>
            </a:extLst>
          </xdr:cNvPr>
          <xdr:cNvCxnSpPr/>
        </xdr:nvCxnSpPr>
        <xdr:spPr>
          <a:xfrm flipH="1">
            <a:off x="723900" y="92530613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6" name="Straight Connector 2895">
            <a:extLst>
              <a:ext uri="{FF2B5EF4-FFF2-40B4-BE49-F238E27FC236}">
                <a16:creationId xmlns:a16="http://schemas.microsoft.com/office/drawing/2014/main" id="{39938926-AE68-436C-942B-E65EDA2EA444}"/>
              </a:ext>
            </a:extLst>
          </xdr:cNvPr>
          <xdr:cNvCxnSpPr/>
        </xdr:nvCxnSpPr>
        <xdr:spPr>
          <a:xfrm flipH="1">
            <a:off x="762000" y="9249251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7" name="Straight Connector 2896">
            <a:extLst>
              <a:ext uri="{FF2B5EF4-FFF2-40B4-BE49-F238E27FC236}">
                <a16:creationId xmlns:a16="http://schemas.microsoft.com/office/drawing/2014/main" id="{B2569157-83DD-4B0B-A24B-2FE8471A31B7}"/>
              </a:ext>
            </a:extLst>
          </xdr:cNvPr>
          <xdr:cNvCxnSpPr/>
        </xdr:nvCxnSpPr>
        <xdr:spPr>
          <a:xfrm flipH="1">
            <a:off x="728663" y="9294971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8" name="Straight Connector 2897">
            <a:extLst>
              <a:ext uri="{FF2B5EF4-FFF2-40B4-BE49-F238E27FC236}">
                <a16:creationId xmlns:a16="http://schemas.microsoft.com/office/drawing/2014/main" id="{D4AF2425-FD63-4119-8CB7-C50A82D7ADBB}"/>
              </a:ext>
            </a:extLst>
          </xdr:cNvPr>
          <xdr:cNvCxnSpPr/>
        </xdr:nvCxnSpPr>
        <xdr:spPr>
          <a:xfrm flipH="1">
            <a:off x="757238" y="929020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9" name="Straight Connector 2898">
            <a:extLst>
              <a:ext uri="{FF2B5EF4-FFF2-40B4-BE49-F238E27FC236}">
                <a16:creationId xmlns:a16="http://schemas.microsoft.com/office/drawing/2014/main" id="{78B00B2E-27BC-466E-A1AC-ED1C429682DD}"/>
              </a:ext>
            </a:extLst>
          </xdr:cNvPr>
          <xdr:cNvCxnSpPr/>
        </xdr:nvCxnSpPr>
        <xdr:spPr>
          <a:xfrm flipH="1">
            <a:off x="728663" y="9334976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0" name="Straight Connector 2899">
            <a:extLst>
              <a:ext uri="{FF2B5EF4-FFF2-40B4-BE49-F238E27FC236}">
                <a16:creationId xmlns:a16="http://schemas.microsoft.com/office/drawing/2014/main" id="{6AC6507A-9982-4740-866A-D24892616727}"/>
              </a:ext>
            </a:extLst>
          </xdr:cNvPr>
          <xdr:cNvCxnSpPr/>
        </xdr:nvCxnSpPr>
        <xdr:spPr>
          <a:xfrm flipH="1">
            <a:off x="757238" y="9331166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1" name="Straight Connector 2900">
            <a:extLst>
              <a:ext uri="{FF2B5EF4-FFF2-40B4-BE49-F238E27FC236}">
                <a16:creationId xmlns:a16="http://schemas.microsoft.com/office/drawing/2014/main" id="{AE97E154-4EEE-445A-8C4E-25159A770526}"/>
              </a:ext>
            </a:extLst>
          </xdr:cNvPr>
          <xdr:cNvCxnSpPr/>
        </xdr:nvCxnSpPr>
        <xdr:spPr>
          <a:xfrm flipH="1">
            <a:off x="395288" y="95288103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2" name="Straight Connector 2901">
            <a:extLst>
              <a:ext uri="{FF2B5EF4-FFF2-40B4-BE49-F238E27FC236}">
                <a16:creationId xmlns:a16="http://schemas.microsoft.com/office/drawing/2014/main" id="{50BA5FD2-A5EC-4144-ACD4-F4FB6E864E16}"/>
              </a:ext>
            </a:extLst>
          </xdr:cNvPr>
          <xdr:cNvCxnSpPr/>
        </xdr:nvCxnSpPr>
        <xdr:spPr>
          <a:xfrm flipH="1">
            <a:off x="766764" y="9525000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3" name="Straight Connector 2902">
            <a:extLst>
              <a:ext uri="{FF2B5EF4-FFF2-40B4-BE49-F238E27FC236}">
                <a16:creationId xmlns:a16="http://schemas.microsoft.com/office/drawing/2014/main" id="{7BAAE67A-522C-434B-BA94-99FD1260B2BF}"/>
              </a:ext>
            </a:extLst>
          </xdr:cNvPr>
          <xdr:cNvCxnSpPr/>
        </xdr:nvCxnSpPr>
        <xdr:spPr>
          <a:xfrm>
            <a:off x="485776" y="90358913"/>
            <a:ext cx="0" cy="50149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4" name="Straight Connector 2903">
            <a:extLst>
              <a:ext uri="{FF2B5EF4-FFF2-40B4-BE49-F238E27FC236}">
                <a16:creationId xmlns:a16="http://schemas.microsoft.com/office/drawing/2014/main" id="{A3E85C6C-8B52-46F5-B00B-C4B3F10E97D4}"/>
              </a:ext>
            </a:extLst>
          </xdr:cNvPr>
          <xdr:cNvCxnSpPr/>
        </xdr:nvCxnSpPr>
        <xdr:spPr>
          <a:xfrm flipH="1">
            <a:off x="442913" y="9038748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5" name="Straight Connector 2904">
            <a:extLst>
              <a:ext uri="{FF2B5EF4-FFF2-40B4-BE49-F238E27FC236}">
                <a16:creationId xmlns:a16="http://schemas.microsoft.com/office/drawing/2014/main" id="{1EF38C2B-5035-48D2-85A2-7A0B2805F8A2}"/>
              </a:ext>
            </a:extLst>
          </xdr:cNvPr>
          <xdr:cNvCxnSpPr/>
        </xdr:nvCxnSpPr>
        <xdr:spPr>
          <a:xfrm flipH="1">
            <a:off x="442914" y="9524524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6" name="Straight Connector 2905">
            <a:extLst>
              <a:ext uri="{FF2B5EF4-FFF2-40B4-BE49-F238E27FC236}">
                <a16:creationId xmlns:a16="http://schemas.microsoft.com/office/drawing/2014/main" id="{0D5A8340-C02D-4C5C-8842-B12EBE31FFB6}"/>
              </a:ext>
            </a:extLst>
          </xdr:cNvPr>
          <xdr:cNvCxnSpPr/>
        </xdr:nvCxnSpPr>
        <xdr:spPr>
          <a:xfrm flipH="1">
            <a:off x="723900" y="91606686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7" name="Straight Connector 2906">
            <a:extLst>
              <a:ext uri="{FF2B5EF4-FFF2-40B4-BE49-F238E27FC236}">
                <a16:creationId xmlns:a16="http://schemas.microsoft.com/office/drawing/2014/main" id="{7B1C55FF-090B-45C3-A79F-D4EF8A211A0D}"/>
              </a:ext>
            </a:extLst>
          </xdr:cNvPr>
          <xdr:cNvCxnSpPr/>
        </xdr:nvCxnSpPr>
        <xdr:spPr>
          <a:xfrm flipH="1">
            <a:off x="762000" y="915685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8" name="Straight Connector 2907">
            <a:extLst>
              <a:ext uri="{FF2B5EF4-FFF2-40B4-BE49-F238E27FC236}">
                <a16:creationId xmlns:a16="http://schemas.microsoft.com/office/drawing/2014/main" id="{A42941AC-650D-45A2-96D2-6EAF77CE8304}"/>
              </a:ext>
            </a:extLst>
          </xdr:cNvPr>
          <xdr:cNvCxnSpPr/>
        </xdr:nvCxnSpPr>
        <xdr:spPr>
          <a:xfrm>
            <a:off x="4695825" y="90354150"/>
            <a:ext cx="0" cy="5029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9" name="Straight Connector 2908">
            <a:extLst>
              <a:ext uri="{FF2B5EF4-FFF2-40B4-BE49-F238E27FC236}">
                <a16:creationId xmlns:a16="http://schemas.microsoft.com/office/drawing/2014/main" id="{7F448B2E-41B9-4EEE-A418-6FEFE9D5A954}"/>
              </a:ext>
            </a:extLst>
          </xdr:cNvPr>
          <xdr:cNvCxnSpPr/>
        </xdr:nvCxnSpPr>
        <xdr:spPr>
          <a:xfrm>
            <a:off x="4414838" y="95288098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0" name="Straight Connector 2909">
            <a:extLst>
              <a:ext uri="{FF2B5EF4-FFF2-40B4-BE49-F238E27FC236}">
                <a16:creationId xmlns:a16="http://schemas.microsoft.com/office/drawing/2014/main" id="{CA97BFC7-14F6-4083-861C-AAB544137B8A}"/>
              </a:ext>
            </a:extLst>
          </xdr:cNvPr>
          <xdr:cNvCxnSpPr/>
        </xdr:nvCxnSpPr>
        <xdr:spPr>
          <a:xfrm>
            <a:off x="4410075" y="90430350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1" name="Straight Connector 2910">
            <a:extLst>
              <a:ext uri="{FF2B5EF4-FFF2-40B4-BE49-F238E27FC236}">
                <a16:creationId xmlns:a16="http://schemas.microsoft.com/office/drawing/2014/main" id="{B1A7FBA1-8DB6-47DD-88F4-D75BBFE901E4}"/>
              </a:ext>
            </a:extLst>
          </xdr:cNvPr>
          <xdr:cNvCxnSpPr/>
        </xdr:nvCxnSpPr>
        <xdr:spPr>
          <a:xfrm flipH="1">
            <a:off x="4648200" y="9039225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2" name="Straight Connector 2911">
            <a:extLst>
              <a:ext uri="{FF2B5EF4-FFF2-40B4-BE49-F238E27FC236}">
                <a16:creationId xmlns:a16="http://schemas.microsoft.com/office/drawing/2014/main" id="{6D208E30-0562-45BA-BF41-3DCFB3A6DCB4}"/>
              </a:ext>
            </a:extLst>
          </xdr:cNvPr>
          <xdr:cNvCxnSpPr/>
        </xdr:nvCxnSpPr>
        <xdr:spPr>
          <a:xfrm flipH="1">
            <a:off x="4648201" y="95245235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3" name="Straight Connector 2912">
            <a:extLst>
              <a:ext uri="{FF2B5EF4-FFF2-40B4-BE49-F238E27FC236}">
                <a16:creationId xmlns:a16="http://schemas.microsoft.com/office/drawing/2014/main" id="{4978C21D-EF7B-4A9C-B085-456B1099F7DE}"/>
              </a:ext>
            </a:extLst>
          </xdr:cNvPr>
          <xdr:cNvCxnSpPr/>
        </xdr:nvCxnSpPr>
        <xdr:spPr>
          <a:xfrm>
            <a:off x="3657600" y="92001975"/>
            <a:ext cx="11096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4" name="Straight Connector 2913">
            <a:extLst>
              <a:ext uri="{FF2B5EF4-FFF2-40B4-BE49-F238E27FC236}">
                <a16:creationId xmlns:a16="http://schemas.microsoft.com/office/drawing/2014/main" id="{B478B192-698C-4D6C-8140-02209AB4C162}"/>
              </a:ext>
            </a:extLst>
          </xdr:cNvPr>
          <xdr:cNvCxnSpPr/>
        </xdr:nvCxnSpPr>
        <xdr:spPr>
          <a:xfrm flipH="1">
            <a:off x="4652964" y="919591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5" name="Straight Connector 2914">
            <a:extLst>
              <a:ext uri="{FF2B5EF4-FFF2-40B4-BE49-F238E27FC236}">
                <a16:creationId xmlns:a16="http://schemas.microsoft.com/office/drawing/2014/main" id="{2E443728-BB02-4BFE-A2A7-033700C512A1}"/>
              </a:ext>
            </a:extLst>
          </xdr:cNvPr>
          <xdr:cNvCxnSpPr/>
        </xdr:nvCxnSpPr>
        <xdr:spPr>
          <a:xfrm>
            <a:off x="3238500" y="91792425"/>
            <a:ext cx="0" cy="3562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7" name="Straight Connector 2916">
            <a:extLst>
              <a:ext uri="{FF2B5EF4-FFF2-40B4-BE49-F238E27FC236}">
                <a16:creationId xmlns:a16="http://schemas.microsoft.com/office/drawing/2014/main" id="{15CEA65E-316D-4267-82CC-D2DD17D2630D}"/>
              </a:ext>
            </a:extLst>
          </xdr:cNvPr>
          <xdr:cNvCxnSpPr/>
        </xdr:nvCxnSpPr>
        <xdr:spPr>
          <a:xfrm flipH="1">
            <a:off x="3186112" y="9181147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8" name="Straight Connector 2917">
            <a:extLst>
              <a:ext uri="{FF2B5EF4-FFF2-40B4-BE49-F238E27FC236}">
                <a16:creationId xmlns:a16="http://schemas.microsoft.com/office/drawing/2014/main" id="{6B8C4F58-D703-4B27-973D-80DCEC021B8D}"/>
              </a:ext>
            </a:extLst>
          </xdr:cNvPr>
          <xdr:cNvCxnSpPr/>
        </xdr:nvCxnSpPr>
        <xdr:spPr>
          <a:xfrm flipH="1">
            <a:off x="2581275" y="91568588"/>
            <a:ext cx="2428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9" name="Straight Connector 2918">
            <a:extLst>
              <a:ext uri="{FF2B5EF4-FFF2-40B4-BE49-F238E27FC236}">
                <a16:creationId xmlns:a16="http://schemas.microsoft.com/office/drawing/2014/main" id="{FC88B687-9504-46DB-9D7B-F70326576CBB}"/>
              </a:ext>
            </a:extLst>
          </xdr:cNvPr>
          <xdr:cNvCxnSpPr/>
        </xdr:nvCxnSpPr>
        <xdr:spPr>
          <a:xfrm>
            <a:off x="2647955" y="91473334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0" name="Straight Connector 2919">
            <a:extLst>
              <a:ext uri="{FF2B5EF4-FFF2-40B4-BE49-F238E27FC236}">
                <a16:creationId xmlns:a16="http://schemas.microsoft.com/office/drawing/2014/main" id="{C1ECB2A6-94E3-4DC3-8769-1215094F5065}"/>
              </a:ext>
            </a:extLst>
          </xdr:cNvPr>
          <xdr:cNvCxnSpPr/>
        </xdr:nvCxnSpPr>
        <xdr:spPr>
          <a:xfrm flipH="1">
            <a:off x="2595568" y="91525722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1" name="Straight Connector 2920">
            <a:extLst>
              <a:ext uri="{FF2B5EF4-FFF2-40B4-BE49-F238E27FC236}">
                <a16:creationId xmlns:a16="http://schemas.microsoft.com/office/drawing/2014/main" id="{19450E03-AFAF-4EB3-B387-4D13ABD3DD3E}"/>
              </a:ext>
            </a:extLst>
          </xdr:cNvPr>
          <xdr:cNvCxnSpPr/>
        </xdr:nvCxnSpPr>
        <xdr:spPr>
          <a:xfrm flipH="1">
            <a:off x="2700338" y="91525725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2" name="Straight Connector 2921">
            <a:extLst>
              <a:ext uri="{FF2B5EF4-FFF2-40B4-BE49-F238E27FC236}">
                <a16:creationId xmlns:a16="http://schemas.microsoft.com/office/drawing/2014/main" id="{B4D3FF3F-07C3-4AB3-BAF3-E15ED6370FB3}"/>
              </a:ext>
            </a:extLst>
          </xdr:cNvPr>
          <xdr:cNvCxnSpPr/>
        </xdr:nvCxnSpPr>
        <xdr:spPr>
          <a:xfrm flipV="1">
            <a:off x="1857375" y="92001977"/>
            <a:ext cx="0" cy="336232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3" name="Straight Connector 2922">
            <a:extLst>
              <a:ext uri="{FF2B5EF4-FFF2-40B4-BE49-F238E27FC236}">
                <a16:creationId xmlns:a16="http://schemas.microsoft.com/office/drawing/2014/main" id="{585A23E0-6C30-4904-8105-31766945726B}"/>
              </a:ext>
            </a:extLst>
          </xdr:cNvPr>
          <xdr:cNvCxnSpPr/>
        </xdr:nvCxnSpPr>
        <xdr:spPr>
          <a:xfrm flipV="1">
            <a:off x="3648075" y="91992455"/>
            <a:ext cx="0" cy="3305170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24" name="Arc 2923">
            <a:extLst>
              <a:ext uri="{FF2B5EF4-FFF2-40B4-BE49-F238E27FC236}">
                <a16:creationId xmlns:a16="http://schemas.microsoft.com/office/drawing/2014/main" id="{F3B1E87E-823B-4CD5-BA23-C7780FBD8E74}"/>
              </a:ext>
            </a:extLst>
          </xdr:cNvPr>
          <xdr:cNvSpPr/>
        </xdr:nvSpPr>
        <xdr:spPr>
          <a:xfrm rot="16200000">
            <a:off x="1857375" y="91125675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925" name="Straight Connector 2924">
            <a:extLst>
              <a:ext uri="{FF2B5EF4-FFF2-40B4-BE49-F238E27FC236}">
                <a16:creationId xmlns:a16="http://schemas.microsoft.com/office/drawing/2014/main" id="{FF493B40-C30B-4AC9-8175-38F9C784C5B5}"/>
              </a:ext>
            </a:extLst>
          </xdr:cNvPr>
          <xdr:cNvCxnSpPr/>
        </xdr:nvCxnSpPr>
        <xdr:spPr>
          <a:xfrm>
            <a:off x="1057275" y="95859600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6" name="Straight Connector 2925">
            <a:extLst>
              <a:ext uri="{FF2B5EF4-FFF2-40B4-BE49-F238E27FC236}">
                <a16:creationId xmlns:a16="http://schemas.microsoft.com/office/drawing/2014/main" id="{0D1DFDBC-3A17-464E-8C55-441E214EDEDF}"/>
              </a:ext>
            </a:extLst>
          </xdr:cNvPr>
          <xdr:cNvCxnSpPr/>
        </xdr:nvCxnSpPr>
        <xdr:spPr>
          <a:xfrm flipH="1">
            <a:off x="1814513" y="9581673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7" name="Straight Connector 2926">
            <a:extLst>
              <a:ext uri="{FF2B5EF4-FFF2-40B4-BE49-F238E27FC236}">
                <a16:creationId xmlns:a16="http://schemas.microsoft.com/office/drawing/2014/main" id="{45097AF4-EEC0-44EB-9492-9E461540406C}"/>
              </a:ext>
            </a:extLst>
          </xdr:cNvPr>
          <xdr:cNvCxnSpPr/>
        </xdr:nvCxnSpPr>
        <xdr:spPr>
          <a:xfrm flipH="1">
            <a:off x="4329114" y="955357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8" name="Straight Connector 2927">
            <a:extLst>
              <a:ext uri="{FF2B5EF4-FFF2-40B4-BE49-F238E27FC236}">
                <a16:creationId xmlns:a16="http://schemas.microsoft.com/office/drawing/2014/main" id="{FFB45EC2-D851-47F4-86F1-72AA71904CD6}"/>
              </a:ext>
            </a:extLst>
          </xdr:cNvPr>
          <xdr:cNvCxnSpPr/>
        </xdr:nvCxnSpPr>
        <xdr:spPr>
          <a:xfrm>
            <a:off x="2109797" y="90073163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9" name="Straight Connector 2928">
            <a:extLst>
              <a:ext uri="{FF2B5EF4-FFF2-40B4-BE49-F238E27FC236}">
                <a16:creationId xmlns:a16="http://schemas.microsoft.com/office/drawing/2014/main" id="{80AD3E34-6E40-4A59-A4F1-0267B9A541B7}"/>
              </a:ext>
            </a:extLst>
          </xdr:cNvPr>
          <xdr:cNvCxnSpPr/>
        </xdr:nvCxnSpPr>
        <xdr:spPr>
          <a:xfrm flipH="1">
            <a:off x="2066936" y="900969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0" name="Straight Connector 2929">
            <a:extLst>
              <a:ext uri="{FF2B5EF4-FFF2-40B4-BE49-F238E27FC236}">
                <a16:creationId xmlns:a16="http://schemas.microsoft.com/office/drawing/2014/main" id="{FB0F2A22-94B0-4D03-B43B-995D349691EB}"/>
              </a:ext>
            </a:extLst>
          </xdr:cNvPr>
          <xdr:cNvCxnSpPr/>
        </xdr:nvCxnSpPr>
        <xdr:spPr>
          <a:xfrm>
            <a:off x="3400440" y="9008268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1" name="Straight Connector 2930">
            <a:extLst>
              <a:ext uri="{FF2B5EF4-FFF2-40B4-BE49-F238E27FC236}">
                <a16:creationId xmlns:a16="http://schemas.microsoft.com/office/drawing/2014/main" id="{FCAECBCA-39DF-43B4-BB76-4656675EBE41}"/>
              </a:ext>
            </a:extLst>
          </xdr:cNvPr>
          <xdr:cNvCxnSpPr/>
        </xdr:nvCxnSpPr>
        <xdr:spPr>
          <a:xfrm flipH="1">
            <a:off x="3352816" y="9010649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2" name="Straight Connector 2931">
            <a:extLst>
              <a:ext uri="{FF2B5EF4-FFF2-40B4-BE49-F238E27FC236}">
                <a16:creationId xmlns:a16="http://schemas.microsoft.com/office/drawing/2014/main" id="{094A7263-11F5-4407-84FA-EAEC25A7B7B6}"/>
              </a:ext>
            </a:extLst>
          </xdr:cNvPr>
          <xdr:cNvCxnSpPr/>
        </xdr:nvCxnSpPr>
        <xdr:spPr>
          <a:xfrm>
            <a:off x="1066799" y="96431099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3" name="Straight Connector 2932">
            <a:extLst>
              <a:ext uri="{FF2B5EF4-FFF2-40B4-BE49-F238E27FC236}">
                <a16:creationId xmlns:a16="http://schemas.microsoft.com/office/drawing/2014/main" id="{ED52B427-F799-4527-BE26-D626677F708B}"/>
              </a:ext>
            </a:extLst>
          </xdr:cNvPr>
          <xdr:cNvCxnSpPr/>
        </xdr:nvCxnSpPr>
        <xdr:spPr>
          <a:xfrm flipH="1">
            <a:off x="1090613" y="963929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4" name="Straight Connector 2933">
            <a:extLst>
              <a:ext uri="{FF2B5EF4-FFF2-40B4-BE49-F238E27FC236}">
                <a16:creationId xmlns:a16="http://schemas.microsoft.com/office/drawing/2014/main" id="{602A188A-E14C-4130-AAC2-85BDB2169920}"/>
              </a:ext>
            </a:extLst>
          </xdr:cNvPr>
          <xdr:cNvCxnSpPr/>
        </xdr:nvCxnSpPr>
        <xdr:spPr>
          <a:xfrm flipH="1">
            <a:off x="4329113" y="963929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5" name="Straight Connector 2934">
            <a:extLst>
              <a:ext uri="{FF2B5EF4-FFF2-40B4-BE49-F238E27FC236}">
                <a16:creationId xmlns:a16="http://schemas.microsoft.com/office/drawing/2014/main" id="{35E25326-8EA5-4824-9850-64688B5F6C64}"/>
              </a:ext>
            </a:extLst>
          </xdr:cNvPr>
          <xdr:cNvCxnSpPr/>
        </xdr:nvCxnSpPr>
        <xdr:spPr>
          <a:xfrm flipH="1">
            <a:off x="1090612" y="9582149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6" name="Straight Connector 2935">
            <a:extLst>
              <a:ext uri="{FF2B5EF4-FFF2-40B4-BE49-F238E27FC236}">
                <a16:creationId xmlns:a16="http://schemas.microsoft.com/office/drawing/2014/main" id="{10A7642B-7A2A-4668-8CF5-5B481C33A3ED}"/>
              </a:ext>
            </a:extLst>
          </xdr:cNvPr>
          <xdr:cNvCxnSpPr/>
        </xdr:nvCxnSpPr>
        <xdr:spPr>
          <a:xfrm flipH="1">
            <a:off x="4329112" y="9582149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7" name="Straight Connector 2936">
            <a:extLst>
              <a:ext uri="{FF2B5EF4-FFF2-40B4-BE49-F238E27FC236}">
                <a16:creationId xmlns:a16="http://schemas.microsoft.com/office/drawing/2014/main" id="{A988FB9D-FE4A-40B5-BFC8-6DE5189E9896}"/>
              </a:ext>
            </a:extLst>
          </xdr:cNvPr>
          <xdr:cNvCxnSpPr/>
        </xdr:nvCxnSpPr>
        <xdr:spPr>
          <a:xfrm flipH="1">
            <a:off x="2709862" y="9582150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8" name="Straight Connector 2937">
            <a:extLst>
              <a:ext uri="{FF2B5EF4-FFF2-40B4-BE49-F238E27FC236}">
                <a16:creationId xmlns:a16="http://schemas.microsoft.com/office/drawing/2014/main" id="{98750582-5819-46B6-B74B-C4EB25B96FC3}"/>
              </a:ext>
            </a:extLst>
          </xdr:cNvPr>
          <xdr:cNvCxnSpPr/>
        </xdr:nvCxnSpPr>
        <xdr:spPr>
          <a:xfrm>
            <a:off x="2762250" y="92144848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9" name="Straight Connector 2938">
            <a:extLst>
              <a:ext uri="{FF2B5EF4-FFF2-40B4-BE49-F238E27FC236}">
                <a16:creationId xmlns:a16="http://schemas.microsoft.com/office/drawing/2014/main" id="{496D9911-09EA-4F19-8CEC-3329FBF08D7C}"/>
              </a:ext>
            </a:extLst>
          </xdr:cNvPr>
          <xdr:cNvCxnSpPr/>
        </xdr:nvCxnSpPr>
        <xdr:spPr>
          <a:xfrm>
            <a:off x="2938462" y="91859100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40" name="Oval 2939">
            <a:extLst>
              <a:ext uri="{FF2B5EF4-FFF2-40B4-BE49-F238E27FC236}">
                <a16:creationId xmlns:a16="http://schemas.microsoft.com/office/drawing/2014/main" id="{BD7C3108-076D-472A-84A6-F15B5DF0478C}"/>
              </a:ext>
            </a:extLst>
          </xdr:cNvPr>
          <xdr:cNvSpPr/>
        </xdr:nvSpPr>
        <xdr:spPr>
          <a:xfrm>
            <a:off x="2729866" y="9197435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941" name="Straight Connector 2940">
            <a:extLst>
              <a:ext uri="{FF2B5EF4-FFF2-40B4-BE49-F238E27FC236}">
                <a16:creationId xmlns:a16="http://schemas.microsoft.com/office/drawing/2014/main" id="{E18B5D9B-FC12-4D9C-B9C5-88463BA07BEB}"/>
              </a:ext>
            </a:extLst>
          </xdr:cNvPr>
          <xdr:cNvCxnSpPr/>
        </xdr:nvCxnSpPr>
        <xdr:spPr>
          <a:xfrm>
            <a:off x="2195513" y="92001975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2" name="Straight Connector 2941">
            <a:extLst>
              <a:ext uri="{FF2B5EF4-FFF2-40B4-BE49-F238E27FC236}">
                <a16:creationId xmlns:a16="http://schemas.microsoft.com/office/drawing/2014/main" id="{AF3989D2-33EC-40F8-9F8C-14CA7CD1033D}"/>
              </a:ext>
            </a:extLst>
          </xdr:cNvPr>
          <xdr:cNvCxnSpPr/>
        </xdr:nvCxnSpPr>
        <xdr:spPr>
          <a:xfrm flipV="1">
            <a:off x="2266950" y="91801950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3" name="Straight Connector 2942">
            <a:extLst>
              <a:ext uri="{FF2B5EF4-FFF2-40B4-BE49-F238E27FC236}">
                <a16:creationId xmlns:a16="http://schemas.microsoft.com/office/drawing/2014/main" id="{71D619B4-15CC-4BE2-8BD2-14A7E2801C6C}"/>
              </a:ext>
            </a:extLst>
          </xdr:cNvPr>
          <xdr:cNvCxnSpPr/>
        </xdr:nvCxnSpPr>
        <xdr:spPr>
          <a:xfrm flipH="1">
            <a:off x="2190750" y="91859100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4" name="Straight Connector 2943">
            <a:extLst>
              <a:ext uri="{FF2B5EF4-FFF2-40B4-BE49-F238E27FC236}">
                <a16:creationId xmlns:a16="http://schemas.microsoft.com/office/drawing/2014/main" id="{8ACD02A7-4E7D-43B5-8C27-AEA7E7137B30}"/>
              </a:ext>
            </a:extLst>
          </xdr:cNvPr>
          <xdr:cNvCxnSpPr/>
        </xdr:nvCxnSpPr>
        <xdr:spPr>
          <a:xfrm flipH="1">
            <a:off x="2224088" y="91825763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5" name="Straight Connector 2944">
            <a:extLst>
              <a:ext uri="{FF2B5EF4-FFF2-40B4-BE49-F238E27FC236}">
                <a16:creationId xmlns:a16="http://schemas.microsoft.com/office/drawing/2014/main" id="{7690FE15-AEAD-4D4F-BE5D-CF000DBFD7D9}"/>
              </a:ext>
            </a:extLst>
          </xdr:cNvPr>
          <xdr:cNvCxnSpPr/>
        </xdr:nvCxnSpPr>
        <xdr:spPr>
          <a:xfrm flipH="1">
            <a:off x="2228850" y="91963875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6" name="Straight Connector 2945">
            <a:extLst>
              <a:ext uri="{FF2B5EF4-FFF2-40B4-BE49-F238E27FC236}">
                <a16:creationId xmlns:a16="http://schemas.microsoft.com/office/drawing/2014/main" id="{72E5A4BC-8EE4-4A28-ABC3-E306FCE663E8}"/>
              </a:ext>
            </a:extLst>
          </xdr:cNvPr>
          <xdr:cNvCxnSpPr/>
        </xdr:nvCxnSpPr>
        <xdr:spPr>
          <a:xfrm flipH="1">
            <a:off x="3190874" y="92101986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7" name="Straight Connector 2946">
            <a:extLst>
              <a:ext uri="{FF2B5EF4-FFF2-40B4-BE49-F238E27FC236}">
                <a16:creationId xmlns:a16="http://schemas.microsoft.com/office/drawing/2014/main" id="{053E5924-201D-4977-AAEB-E61B4C4F5E2C}"/>
              </a:ext>
            </a:extLst>
          </xdr:cNvPr>
          <xdr:cNvCxnSpPr/>
        </xdr:nvCxnSpPr>
        <xdr:spPr>
          <a:xfrm>
            <a:off x="2767012" y="92273431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8" name="Straight Connector 2947">
            <a:extLst>
              <a:ext uri="{FF2B5EF4-FFF2-40B4-BE49-F238E27FC236}">
                <a16:creationId xmlns:a16="http://schemas.microsoft.com/office/drawing/2014/main" id="{391BF1F3-E4DA-4725-B679-AF694148A02D}"/>
              </a:ext>
            </a:extLst>
          </xdr:cNvPr>
          <xdr:cNvCxnSpPr/>
        </xdr:nvCxnSpPr>
        <xdr:spPr>
          <a:xfrm flipH="1">
            <a:off x="3195636" y="92230569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9" name="Straight Connector 2948">
            <a:extLst>
              <a:ext uri="{FF2B5EF4-FFF2-40B4-BE49-F238E27FC236}">
                <a16:creationId xmlns:a16="http://schemas.microsoft.com/office/drawing/2014/main" id="{6D1A8499-8881-4980-A379-72D83DE6D86C}"/>
              </a:ext>
            </a:extLst>
          </xdr:cNvPr>
          <xdr:cNvCxnSpPr/>
        </xdr:nvCxnSpPr>
        <xdr:spPr>
          <a:xfrm>
            <a:off x="2762249" y="9260204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0" name="Straight Connector 2949">
            <a:extLst>
              <a:ext uri="{FF2B5EF4-FFF2-40B4-BE49-F238E27FC236}">
                <a16:creationId xmlns:a16="http://schemas.microsoft.com/office/drawing/2014/main" id="{E0B4323C-3C07-4C5C-9175-A47E876E9BD9}"/>
              </a:ext>
            </a:extLst>
          </xdr:cNvPr>
          <xdr:cNvCxnSpPr/>
        </xdr:nvCxnSpPr>
        <xdr:spPr>
          <a:xfrm flipH="1">
            <a:off x="3190873" y="9256395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1" name="Straight Connector 2950">
            <a:extLst>
              <a:ext uri="{FF2B5EF4-FFF2-40B4-BE49-F238E27FC236}">
                <a16:creationId xmlns:a16="http://schemas.microsoft.com/office/drawing/2014/main" id="{9DF7E840-6916-4FD6-AD4C-26DAC3A41355}"/>
              </a:ext>
            </a:extLst>
          </xdr:cNvPr>
          <xdr:cNvCxnSpPr/>
        </xdr:nvCxnSpPr>
        <xdr:spPr>
          <a:xfrm>
            <a:off x="2762248" y="9306877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2" name="Straight Connector 2951">
            <a:extLst>
              <a:ext uri="{FF2B5EF4-FFF2-40B4-BE49-F238E27FC236}">
                <a16:creationId xmlns:a16="http://schemas.microsoft.com/office/drawing/2014/main" id="{AAEDCD30-85BE-42D2-8685-3DA8E273D859}"/>
              </a:ext>
            </a:extLst>
          </xdr:cNvPr>
          <xdr:cNvCxnSpPr/>
        </xdr:nvCxnSpPr>
        <xdr:spPr>
          <a:xfrm flipH="1">
            <a:off x="3190872" y="9302591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3" name="Straight Connector 2952">
            <a:extLst>
              <a:ext uri="{FF2B5EF4-FFF2-40B4-BE49-F238E27FC236}">
                <a16:creationId xmlns:a16="http://schemas.microsoft.com/office/drawing/2014/main" id="{7B41D731-BFD6-47DE-A886-95F5A42EE4C1}"/>
              </a:ext>
            </a:extLst>
          </xdr:cNvPr>
          <xdr:cNvCxnSpPr/>
        </xdr:nvCxnSpPr>
        <xdr:spPr>
          <a:xfrm>
            <a:off x="2767010" y="9334976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4" name="Straight Connector 2953">
            <a:extLst>
              <a:ext uri="{FF2B5EF4-FFF2-40B4-BE49-F238E27FC236}">
                <a16:creationId xmlns:a16="http://schemas.microsoft.com/office/drawing/2014/main" id="{F80697D3-6CD4-45D4-8846-297CDDBA10DD}"/>
              </a:ext>
            </a:extLst>
          </xdr:cNvPr>
          <xdr:cNvCxnSpPr/>
        </xdr:nvCxnSpPr>
        <xdr:spPr>
          <a:xfrm flipH="1">
            <a:off x="3195634" y="93306898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5" name="Straight Connector 2954">
            <a:extLst>
              <a:ext uri="{FF2B5EF4-FFF2-40B4-BE49-F238E27FC236}">
                <a16:creationId xmlns:a16="http://schemas.microsoft.com/office/drawing/2014/main" id="{555EF821-4092-43A8-A1FC-CFA4AE365F5C}"/>
              </a:ext>
            </a:extLst>
          </xdr:cNvPr>
          <xdr:cNvCxnSpPr/>
        </xdr:nvCxnSpPr>
        <xdr:spPr>
          <a:xfrm>
            <a:off x="2757485" y="9364980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6" name="Straight Connector 2955">
            <a:extLst>
              <a:ext uri="{FF2B5EF4-FFF2-40B4-BE49-F238E27FC236}">
                <a16:creationId xmlns:a16="http://schemas.microsoft.com/office/drawing/2014/main" id="{C7171E19-F3F4-40F8-AF3B-700A41CD7CC5}"/>
              </a:ext>
            </a:extLst>
          </xdr:cNvPr>
          <xdr:cNvCxnSpPr/>
        </xdr:nvCxnSpPr>
        <xdr:spPr>
          <a:xfrm flipH="1">
            <a:off x="3186109" y="9360694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7" name="Straight Connector 2956">
            <a:extLst>
              <a:ext uri="{FF2B5EF4-FFF2-40B4-BE49-F238E27FC236}">
                <a16:creationId xmlns:a16="http://schemas.microsoft.com/office/drawing/2014/main" id="{4C7455E3-B32A-4C14-9752-E6D40A80D989}"/>
              </a:ext>
            </a:extLst>
          </xdr:cNvPr>
          <xdr:cNvCxnSpPr/>
        </xdr:nvCxnSpPr>
        <xdr:spPr>
          <a:xfrm>
            <a:off x="2762248" y="9282588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8" name="Straight Connector 2957">
            <a:extLst>
              <a:ext uri="{FF2B5EF4-FFF2-40B4-BE49-F238E27FC236}">
                <a16:creationId xmlns:a16="http://schemas.microsoft.com/office/drawing/2014/main" id="{5F2FE1C3-77E6-4F02-8055-8CC78191DFDE}"/>
              </a:ext>
            </a:extLst>
          </xdr:cNvPr>
          <xdr:cNvCxnSpPr/>
        </xdr:nvCxnSpPr>
        <xdr:spPr>
          <a:xfrm flipH="1">
            <a:off x="3190872" y="9277826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9" name="Straight Connector 2958">
            <a:extLst>
              <a:ext uri="{FF2B5EF4-FFF2-40B4-BE49-F238E27FC236}">
                <a16:creationId xmlns:a16="http://schemas.microsoft.com/office/drawing/2014/main" id="{9C17B68E-26AD-4739-B238-F3624B2A3D8C}"/>
              </a:ext>
            </a:extLst>
          </xdr:cNvPr>
          <xdr:cNvCxnSpPr/>
        </xdr:nvCxnSpPr>
        <xdr:spPr>
          <a:xfrm>
            <a:off x="2762248" y="92416310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0" name="Straight Connector 2959">
            <a:extLst>
              <a:ext uri="{FF2B5EF4-FFF2-40B4-BE49-F238E27FC236}">
                <a16:creationId xmlns:a16="http://schemas.microsoft.com/office/drawing/2014/main" id="{5F33392E-DDC6-4674-B70A-F8DC89A7A469}"/>
              </a:ext>
            </a:extLst>
          </xdr:cNvPr>
          <xdr:cNvCxnSpPr/>
        </xdr:nvCxnSpPr>
        <xdr:spPr>
          <a:xfrm flipH="1">
            <a:off x="3190872" y="9236869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61" name="Oval 2960">
            <a:extLst>
              <a:ext uri="{FF2B5EF4-FFF2-40B4-BE49-F238E27FC236}">
                <a16:creationId xmlns:a16="http://schemas.microsoft.com/office/drawing/2014/main" id="{C4928DDE-24F1-4E34-A3C2-9E1E78BBDB87}"/>
              </a:ext>
            </a:extLst>
          </xdr:cNvPr>
          <xdr:cNvSpPr/>
        </xdr:nvSpPr>
        <xdr:spPr>
          <a:xfrm>
            <a:off x="1833563" y="91973400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962" name="Oval 2961">
            <a:extLst>
              <a:ext uri="{FF2B5EF4-FFF2-40B4-BE49-F238E27FC236}">
                <a16:creationId xmlns:a16="http://schemas.microsoft.com/office/drawing/2014/main" id="{E3A3A10A-44F0-4585-9B24-925AE13073CF}"/>
              </a:ext>
            </a:extLst>
          </xdr:cNvPr>
          <xdr:cNvSpPr/>
        </xdr:nvSpPr>
        <xdr:spPr>
          <a:xfrm>
            <a:off x="3624263" y="91978163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963" name="Straight Connector 2962">
            <a:extLst>
              <a:ext uri="{FF2B5EF4-FFF2-40B4-BE49-F238E27FC236}">
                <a16:creationId xmlns:a16="http://schemas.microsoft.com/office/drawing/2014/main" id="{6788A650-4011-4B81-A318-130B0D70C51B}"/>
              </a:ext>
            </a:extLst>
          </xdr:cNvPr>
          <xdr:cNvCxnSpPr/>
        </xdr:nvCxnSpPr>
        <xdr:spPr>
          <a:xfrm>
            <a:off x="4781550" y="9185910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4" name="Straight Connector 2963">
            <a:extLst>
              <a:ext uri="{FF2B5EF4-FFF2-40B4-BE49-F238E27FC236}">
                <a16:creationId xmlns:a16="http://schemas.microsoft.com/office/drawing/2014/main" id="{C4C79B08-FDE8-4BB4-B77B-677C0E76DC66}"/>
              </a:ext>
            </a:extLst>
          </xdr:cNvPr>
          <xdr:cNvCxnSpPr/>
        </xdr:nvCxnSpPr>
        <xdr:spPr>
          <a:xfrm>
            <a:off x="5019675" y="90354150"/>
            <a:ext cx="0" cy="5038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5" name="Straight Connector 2964">
            <a:extLst>
              <a:ext uri="{FF2B5EF4-FFF2-40B4-BE49-F238E27FC236}">
                <a16:creationId xmlns:a16="http://schemas.microsoft.com/office/drawing/2014/main" id="{8BF73616-3EE3-4A12-87FC-4CBEC75FF4A2}"/>
              </a:ext>
            </a:extLst>
          </xdr:cNvPr>
          <xdr:cNvCxnSpPr/>
        </xdr:nvCxnSpPr>
        <xdr:spPr>
          <a:xfrm flipH="1">
            <a:off x="4981576" y="95240473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6" name="Straight Connector 2965">
            <a:extLst>
              <a:ext uri="{FF2B5EF4-FFF2-40B4-BE49-F238E27FC236}">
                <a16:creationId xmlns:a16="http://schemas.microsoft.com/office/drawing/2014/main" id="{E8D80B19-E304-4EA0-8EF1-C6DAADFCD695}"/>
              </a:ext>
            </a:extLst>
          </xdr:cNvPr>
          <xdr:cNvCxnSpPr/>
        </xdr:nvCxnSpPr>
        <xdr:spPr>
          <a:xfrm flipH="1">
            <a:off x="4976814" y="918162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7" name="Straight Connector 2966">
            <a:extLst>
              <a:ext uri="{FF2B5EF4-FFF2-40B4-BE49-F238E27FC236}">
                <a16:creationId xmlns:a16="http://schemas.microsoft.com/office/drawing/2014/main" id="{350C351C-6C86-4131-AB19-6660FC47C165}"/>
              </a:ext>
            </a:extLst>
          </xdr:cNvPr>
          <xdr:cNvCxnSpPr/>
        </xdr:nvCxnSpPr>
        <xdr:spPr>
          <a:xfrm>
            <a:off x="3509962" y="91859100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8" name="Straight Connector 2967">
            <a:extLst>
              <a:ext uri="{FF2B5EF4-FFF2-40B4-BE49-F238E27FC236}">
                <a16:creationId xmlns:a16="http://schemas.microsoft.com/office/drawing/2014/main" id="{33E9698B-6286-4D94-93B8-9986AFAE5DF3}"/>
              </a:ext>
            </a:extLst>
          </xdr:cNvPr>
          <xdr:cNvCxnSpPr/>
        </xdr:nvCxnSpPr>
        <xdr:spPr>
          <a:xfrm>
            <a:off x="4410075" y="91859100"/>
            <a:ext cx="2571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9" name="Straight Connector 2968">
            <a:extLst>
              <a:ext uri="{FF2B5EF4-FFF2-40B4-BE49-F238E27FC236}">
                <a16:creationId xmlns:a16="http://schemas.microsoft.com/office/drawing/2014/main" id="{ED7DDE8F-6589-47AA-B90A-BF1C61ADA71C}"/>
              </a:ext>
            </a:extLst>
          </xdr:cNvPr>
          <xdr:cNvCxnSpPr/>
        </xdr:nvCxnSpPr>
        <xdr:spPr>
          <a:xfrm flipH="1">
            <a:off x="4976813" y="90382725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0" name="Straight Connector 2969">
            <a:extLst>
              <a:ext uri="{FF2B5EF4-FFF2-40B4-BE49-F238E27FC236}">
                <a16:creationId xmlns:a16="http://schemas.microsoft.com/office/drawing/2014/main" id="{9CB44236-4B08-4FCC-A30B-C45A31E1F4E5}"/>
              </a:ext>
            </a:extLst>
          </xdr:cNvPr>
          <xdr:cNvCxnSpPr/>
        </xdr:nvCxnSpPr>
        <xdr:spPr>
          <a:xfrm>
            <a:off x="1143000" y="93740288"/>
            <a:ext cx="1614488" cy="21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1" name="Straight Connector 2970">
            <a:extLst>
              <a:ext uri="{FF2B5EF4-FFF2-40B4-BE49-F238E27FC236}">
                <a16:creationId xmlns:a16="http://schemas.microsoft.com/office/drawing/2014/main" id="{0E449EF6-8167-4D12-8CA6-F2E927C91D5F}"/>
              </a:ext>
            </a:extLst>
          </xdr:cNvPr>
          <xdr:cNvCxnSpPr/>
        </xdr:nvCxnSpPr>
        <xdr:spPr>
          <a:xfrm flipH="1" flipV="1">
            <a:off x="1138239" y="93740289"/>
            <a:ext cx="1452561" cy="19526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2" name="Straight Connector 2971">
            <a:extLst>
              <a:ext uri="{FF2B5EF4-FFF2-40B4-BE49-F238E27FC236}">
                <a16:creationId xmlns:a16="http://schemas.microsoft.com/office/drawing/2014/main" id="{65376F7D-9F82-4C92-B4F2-024538D3314B}"/>
              </a:ext>
            </a:extLst>
          </xdr:cNvPr>
          <xdr:cNvCxnSpPr/>
        </xdr:nvCxnSpPr>
        <xdr:spPr>
          <a:xfrm flipH="1">
            <a:off x="2919413" y="93735525"/>
            <a:ext cx="1452562" cy="19526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3" name="Straight Connector 2972">
            <a:extLst>
              <a:ext uri="{FF2B5EF4-FFF2-40B4-BE49-F238E27FC236}">
                <a16:creationId xmlns:a16="http://schemas.microsoft.com/office/drawing/2014/main" id="{772175D4-D18A-429B-A0E4-196540113EEF}"/>
              </a:ext>
            </a:extLst>
          </xdr:cNvPr>
          <xdr:cNvCxnSpPr/>
        </xdr:nvCxnSpPr>
        <xdr:spPr>
          <a:xfrm>
            <a:off x="2762248" y="93959366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4" name="Straight Connector 2973">
            <a:extLst>
              <a:ext uri="{FF2B5EF4-FFF2-40B4-BE49-F238E27FC236}">
                <a16:creationId xmlns:a16="http://schemas.microsoft.com/office/drawing/2014/main" id="{04312F68-3122-49AB-9D05-DCC4E020551B}"/>
              </a:ext>
            </a:extLst>
          </xdr:cNvPr>
          <xdr:cNvCxnSpPr/>
        </xdr:nvCxnSpPr>
        <xdr:spPr>
          <a:xfrm flipH="1">
            <a:off x="3190872" y="94230829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5" name="Straight Connector 2974">
            <a:extLst>
              <a:ext uri="{FF2B5EF4-FFF2-40B4-BE49-F238E27FC236}">
                <a16:creationId xmlns:a16="http://schemas.microsoft.com/office/drawing/2014/main" id="{24B82353-B8FD-4FBA-922B-452AAA9E15DD}"/>
              </a:ext>
            </a:extLst>
          </xdr:cNvPr>
          <xdr:cNvCxnSpPr/>
        </xdr:nvCxnSpPr>
        <xdr:spPr>
          <a:xfrm flipH="1">
            <a:off x="728663" y="9413558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6" name="Straight Connector 2975">
            <a:extLst>
              <a:ext uri="{FF2B5EF4-FFF2-40B4-BE49-F238E27FC236}">
                <a16:creationId xmlns:a16="http://schemas.microsoft.com/office/drawing/2014/main" id="{BB82814C-7839-4ED0-8A61-CB82A17F35F0}"/>
              </a:ext>
            </a:extLst>
          </xdr:cNvPr>
          <xdr:cNvCxnSpPr/>
        </xdr:nvCxnSpPr>
        <xdr:spPr>
          <a:xfrm flipH="1">
            <a:off x="766763" y="9409748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7" name="Straight Connector 2976">
            <a:extLst>
              <a:ext uri="{FF2B5EF4-FFF2-40B4-BE49-F238E27FC236}">
                <a16:creationId xmlns:a16="http://schemas.microsoft.com/office/drawing/2014/main" id="{E2110D79-B414-404E-9790-8BF79EC74A77}"/>
              </a:ext>
            </a:extLst>
          </xdr:cNvPr>
          <xdr:cNvCxnSpPr/>
        </xdr:nvCxnSpPr>
        <xdr:spPr>
          <a:xfrm>
            <a:off x="1138238" y="94126050"/>
            <a:ext cx="1614487" cy="152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8" name="Straight Connector 2977">
            <a:extLst>
              <a:ext uri="{FF2B5EF4-FFF2-40B4-BE49-F238E27FC236}">
                <a16:creationId xmlns:a16="http://schemas.microsoft.com/office/drawing/2014/main" id="{BB381FD0-7091-44CE-BB3E-705BDDF5D02E}"/>
              </a:ext>
            </a:extLst>
          </xdr:cNvPr>
          <xdr:cNvCxnSpPr/>
        </xdr:nvCxnSpPr>
        <xdr:spPr>
          <a:xfrm flipH="1" flipV="1">
            <a:off x="1138238" y="94129965"/>
            <a:ext cx="1452563" cy="12943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9" name="Straight Connector 2978">
            <a:extLst>
              <a:ext uri="{FF2B5EF4-FFF2-40B4-BE49-F238E27FC236}">
                <a16:creationId xmlns:a16="http://schemas.microsoft.com/office/drawing/2014/main" id="{81F9A5B5-D9FC-4FD8-BBE1-FC25483C5FB2}"/>
              </a:ext>
            </a:extLst>
          </xdr:cNvPr>
          <xdr:cNvCxnSpPr/>
        </xdr:nvCxnSpPr>
        <xdr:spPr>
          <a:xfrm flipH="1">
            <a:off x="2914650" y="94130813"/>
            <a:ext cx="1462089" cy="1333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0" name="Straight Connector 2979">
            <a:extLst>
              <a:ext uri="{FF2B5EF4-FFF2-40B4-BE49-F238E27FC236}">
                <a16:creationId xmlns:a16="http://schemas.microsoft.com/office/drawing/2014/main" id="{830237D7-76A9-46F6-813B-01141FC000BD}"/>
              </a:ext>
            </a:extLst>
          </xdr:cNvPr>
          <xdr:cNvCxnSpPr/>
        </xdr:nvCxnSpPr>
        <xdr:spPr>
          <a:xfrm flipH="1">
            <a:off x="723900" y="9487854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1" name="Straight Connector 2980">
            <a:extLst>
              <a:ext uri="{FF2B5EF4-FFF2-40B4-BE49-F238E27FC236}">
                <a16:creationId xmlns:a16="http://schemas.microsoft.com/office/drawing/2014/main" id="{09A91448-F09E-476E-9AA8-B0E4E642A5AF}"/>
              </a:ext>
            </a:extLst>
          </xdr:cNvPr>
          <xdr:cNvCxnSpPr/>
        </xdr:nvCxnSpPr>
        <xdr:spPr>
          <a:xfrm flipH="1">
            <a:off x="762000" y="9484044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2" name="Straight Connector 2981">
            <a:extLst>
              <a:ext uri="{FF2B5EF4-FFF2-40B4-BE49-F238E27FC236}">
                <a16:creationId xmlns:a16="http://schemas.microsoft.com/office/drawing/2014/main" id="{5E78B787-57A1-43E7-93D3-6B4442E1E464}"/>
              </a:ext>
            </a:extLst>
          </xdr:cNvPr>
          <xdr:cNvCxnSpPr/>
        </xdr:nvCxnSpPr>
        <xdr:spPr>
          <a:xfrm flipH="1" flipV="1">
            <a:off x="1133475" y="94511014"/>
            <a:ext cx="1462089" cy="8176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3" name="Straight Connector 2982">
            <a:extLst>
              <a:ext uri="{FF2B5EF4-FFF2-40B4-BE49-F238E27FC236}">
                <a16:creationId xmlns:a16="http://schemas.microsoft.com/office/drawing/2014/main" id="{65302877-FF7A-46D9-84DE-F926A5082DC8}"/>
              </a:ext>
            </a:extLst>
          </xdr:cNvPr>
          <xdr:cNvCxnSpPr/>
        </xdr:nvCxnSpPr>
        <xdr:spPr>
          <a:xfrm flipH="1">
            <a:off x="3190875" y="9486900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4" name="Straight Connector 2983">
            <a:extLst>
              <a:ext uri="{FF2B5EF4-FFF2-40B4-BE49-F238E27FC236}">
                <a16:creationId xmlns:a16="http://schemas.microsoft.com/office/drawing/2014/main" id="{1F1A0B4B-4C57-485F-B4AC-2A4576715C27}"/>
              </a:ext>
            </a:extLst>
          </xdr:cNvPr>
          <xdr:cNvCxnSpPr/>
        </xdr:nvCxnSpPr>
        <xdr:spPr>
          <a:xfrm flipH="1">
            <a:off x="2909888" y="94521338"/>
            <a:ext cx="1462087" cy="6667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5" name="Straight Connector 2984">
            <a:extLst>
              <a:ext uri="{FF2B5EF4-FFF2-40B4-BE49-F238E27FC236}">
                <a16:creationId xmlns:a16="http://schemas.microsoft.com/office/drawing/2014/main" id="{4E901AFC-E996-4D9F-BA08-7F0CC07B56DC}"/>
              </a:ext>
            </a:extLst>
          </xdr:cNvPr>
          <xdr:cNvCxnSpPr/>
        </xdr:nvCxnSpPr>
        <xdr:spPr>
          <a:xfrm>
            <a:off x="2767010" y="94278444"/>
            <a:ext cx="5429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6" name="Straight Connector 2985">
            <a:extLst>
              <a:ext uri="{FF2B5EF4-FFF2-40B4-BE49-F238E27FC236}">
                <a16:creationId xmlns:a16="http://schemas.microsoft.com/office/drawing/2014/main" id="{38F0C5DB-1BE7-4DBB-8D26-37658CBD78D3}"/>
              </a:ext>
            </a:extLst>
          </xdr:cNvPr>
          <xdr:cNvCxnSpPr/>
        </xdr:nvCxnSpPr>
        <xdr:spPr>
          <a:xfrm flipV="1">
            <a:off x="2752724" y="94521338"/>
            <a:ext cx="1624014" cy="767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7" name="Straight Connector 2986">
            <a:extLst>
              <a:ext uri="{FF2B5EF4-FFF2-40B4-BE49-F238E27FC236}">
                <a16:creationId xmlns:a16="http://schemas.microsoft.com/office/drawing/2014/main" id="{30D812B4-28D3-4E5D-BFFC-AC2AF15D339E}"/>
              </a:ext>
            </a:extLst>
          </xdr:cNvPr>
          <xdr:cNvCxnSpPr/>
        </xdr:nvCxnSpPr>
        <xdr:spPr>
          <a:xfrm flipH="1">
            <a:off x="3190875" y="9455943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8" name="Straight Connector 2987">
            <a:extLst>
              <a:ext uri="{FF2B5EF4-FFF2-40B4-BE49-F238E27FC236}">
                <a16:creationId xmlns:a16="http://schemas.microsoft.com/office/drawing/2014/main" id="{0198FF95-05EC-462C-B891-3B97F1240566}"/>
              </a:ext>
            </a:extLst>
          </xdr:cNvPr>
          <xdr:cNvCxnSpPr/>
        </xdr:nvCxnSpPr>
        <xdr:spPr>
          <a:xfrm>
            <a:off x="2767013" y="94602289"/>
            <a:ext cx="5429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9" name="Straight Connector 2988">
            <a:extLst>
              <a:ext uri="{FF2B5EF4-FFF2-40B4-BE49-F238E27FC236}">
                <a16:creationId xmlns:a16="http://schemas.microsoft.com/office/drawing/2014/main" id="{23471223-6621-48AD-BB74-BA20B5AEA495}"/>
              </a:ext>
            </a:extLst>
          </xdr:cNvPr>
          <xdr:cNvCxnSpPr/>
        </xdr:nvCxnSpPr>
        <xdr:spPr>
          <a:xfrm flipV="1">
            <a:off x="2757488" y="94130813"/>
            <a:ext cx="1619250" cy="14819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0" name="Straight Connector 2989">
            <a:extLst>
              <a:ext uri="{FF2B5EF4-FFF2-40B4-BE49-F238E27FC236}">
                <a16:creationId xmlns:a16="http://schemas.microsoft.com/office/drawing/2014/main" id="{438ABD57-E400-4C41-9684-43AD370E6A68}"/>
              </a:ext>
            </a:extLst>
          </xdr:cNvPr>
          <xdr:cNvCxnSpPr/>
        </xdr:nvCxnSpPr>
        <xdr:spPr>
          <a:xfrm flipV="1">
            <a:off x="2757488" y="93735525"/>
            <a:ext cx="1624012" cy="22439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1" name="Straight Connector 2990">
            <a:extLst>
              <a:ext uri="{FF2B5EF4-FFF2-40B4-BE49-F238E27FC236}">
                <a16:creationId xmlns:a16="http://schemas.microsoft.com/office/drawing/2014/main" id="{CB4207E2-4045-4C46-8E83-A97CB4D2F0CD}"/>
              </a:ext>
            </a:extLst>
          </xdr:cNvPr>
          <xdr:cNvCxnSpPr/>
        </xdr:nvCxnSpPr>
        <xdr:spPr>
          <a:xfrm flipH="1">
            <a:off x="723900" y="9374505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2" name="Straight Connector 2991">
            <a:extLst>
              <a:ext uri="{FF2B5EF4-FFF2-40B4-BE49-F238E27FC236}">
                <a16:creationId xmlns:a16="http://schemas.microsoft.com/office/drawing/2014/main" id="{DBF76BF8-CB85-4132-BA1E-ECB1DD5F56D5}"/>
              </a:ext>
            </a:extLst>
          </xdr:cNvPr>
          <xdr:cNvCxnSpPr/>
        </xdr:nvCxnSpPr>
        <xdr:spPr>
          <a:xfrm flipH="1">
            <a:off x="762000" y="9370695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4" name="Straight Connector 2993">
            <a:extLst>
              <a:ext uri="{FF2B5EF4-FFF2-40B4-BE49-F238E27FC236}">
                <a16:creationId xmlns:a16="http://schemas.microsoft.com/office/drawing/2014/main" id="{3F3460B9-6BFD-4339-B0AE-ADA6EFD60DB0}"/>
              </a:ext>
            </a:extLst>
          </xdr:cNvPr>
          <xdr:cNvCxnSpPr/>
        </xdr:nvCxnSpPr>
        <xdr:spPr>
          <a:xfrm flipH="1" flipV="1">
            <a:off x="1133475" y="94883166"/>
            <a:ext cx="1457326" cy="3785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6" name="Straight Connector 2995">
            <a:extLst>
              <a:ext uri="{FF2B5EF4-FFF2-40B4-BE49-F238E27FC236}">
                <a16:creationId xmlns:a16="http://schemas.microsoft.com/office/drawing/2014/main" id="{C11CD05C-7CAB-4C5B-B58D-F172A57CDB12}"/>
              </a:ext>
            </a:extLst>
          </xdr:cNvPr>
          <xdr:cNvCxnSpPr/>
        </xdr:nvCxnSpPr>
        <xdr:spPr>
          <a:xfrm flipV="1">
            <a:off x="2757487" y="94878525"/>
            <a:ext cx="1619251" cy="4342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7" name="Straight Connector 2996">
            <a:extLst>
              <a:ext uri="{FF2B5EF4-FFF2-40B4-BE49-F238E27FC236}">
                <a16:creationId xmlns:a16="http://schemas.microsoft.com/office/drawing/2014/main" id="{43E19651-C8EF-4E0F-998A-99C383F1C7F8}"/>
              </a:ext>
            </a:extLst>
          </xdr:cNvPr>
          <xdr:cNvCxnSpPr/>
        </xdr:nvCxnSpPr>
        <xdr:spPr>
          <a:xfrm flipH="1">
            <a:off x="2914653" y="94878525"/>
            <a:ext cx="1462085" cy="381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8" name="Straight Connector 3007">
            <a:extLst>
              <a:ext uri="{FF2B5EF4-FFF2-40B4-BE49-F238E27FC236}">
                <a16:creationId xmlns:a16="http://schemas.microsoft.com/office/drawing/2014/main" id="{83469E29-C544-4512-B427-635A7043762B}"/>
              </a:ext>
            </a:extLst>
          </xdr:cNvPr>
          <xdr:cNvCxnSpPr/>
        </xdr:nvCxnSpPr>
        <xdr:spPr>
          <a:xfrm>
            <a:off x="2757488" y="94921375"/>
            <a:ext cx="54292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9" name="Straight Connector 3008">
            <a:extLst>
              <a:ext uri="{FF2B5EF4-FFF2-40B4-BE49-F238E27FC236}">
                <a16:creationId xmlns:a16="http://schemas.microsoft.com/office/drawing/2014/main" id="{D38C4663-F651-4DE1-971E-6BDE590C922E}"/>
              </a:ext>
            </a:extLst>
          </xdr:cNvPr>
          <xdr:cNvCxnSpPr/>
        </xdr:nvCxnSpPr>
        <xdr:spPr>
          <a:xfrm flipH="1">
            <a:off x="3195638" y="952404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0" name="Straight Connector 3009">
            <a:extLst>
              <a:ext uri="{FF2B5EF4-FFF2-40B4-BE49-F238E27FC236}">
                <a16:creationId xmlns:a16="http://schemas.microsoft.com/office/drawing/2014/main" id="{4510D0A0-63E8-41F2-833E-613E8A989402}"/>
              </a:ext>
            </a:extLst>
          </xdr:cNvPr>
          <xdr:cNvCxnSpPr/>
        </xdr:nvCxnSpPr>
        <xdr:spPr>
          <a:xfrm flipH="1">
            <a:off x="728663" y="94511812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1" name="Straight Connector 3010">
            <a:extLst>
              <a:ext uri="{FF2B5EF4-FFF2-40B4-BE49-F238E27FC236}">
                <a16:creationId xmlns:a16="http://schemas.microsoft.com/office/drawing/2014/main" id="{06270481-BD3B-4E34-B03B-792EB8A74CA9}"/>
              </a:ext>
            </a:extLst>
          </xdr:cNvPr>
          <xdr:cNvCxnSpPr/>
        </xdr:nvCxnSpPr>
        <xdr:spPr>
          <a:xfrm flipH="1">
            <a:off x="757238" y="9445466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55</xdr:col>
      <xdr:colOff>123825</xdr:colOff>
      <xdr:row>60</xdr:row>
      <xdr:rowOff>47625</xdr:rowOff>
    </xdr:from>
    <xdr:to>
      <xdr:col>57</xdr:col>
      <xdr:colOff>142875</xdr:colOff>
      <xdr:row>61</xdr:row>
      <xdr:rowOff>66675</xdr:rowOff>
    </xdr:to>
    <xdr:cxnSp macro="">
      <xdr:nvCxnSpPr>
        <xdr:cNvPr id="3013" name="Straight Arrow Connector 3012">
          <a:extLst>
            <a:ext uri="{FF2B5EF4-FFF2-40B4-BE49-F238E27FC236}">
              <a16:creationId xmlns:a16="http://schemas.microsoft.com/office/drawing/2014/main" id="{E8276B00-8D75-4C9D-A3E8-7DA121A45BA7}"/>
            </a:ext>
          </a:extLst>
        </xdr:cNvPr>
        <xdr:cNvCxnSpPr/>
      </xdr:nvCxnSpPr>
      <xdr:spPr>
        <a:xfrm flipH="1" flipV="1">
          <a:off x="9029700" y="9315450"/>
          <a:ext cx="342900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85725</xdr:colOff>
      <xdr:row>92</xdr:row>
      <xdr:rowOff>66675</xdr:rowOff>
    </xdr:from>
    <xdr:to>
      <xdr:col>45</xdr:col>
      <xdr:colOff>8164</xdr:colOff>
      <xdr:row>98</xdr:row>
      <xdr:rowOff>1360</xdr:rowOff>
    </xdr:to>
    <xdr:grpSp>
      <xdr:nvGrpSpPr>
        <xdr:cNvPr id="3014" name="Group 3013">
          <a:extLst>
            <a:ext uri="{FF2B5EF4-FFF2-40B4-BE49-F238E27FC236}">
              <a16:creationId xmlns:a16="http://schemas.microsoft.com/office/drawing/2014/main" id="{33E66FDE-18F4-4C28-A3E1-5CEDF376349D}"/>
            </a:ext>
          </a:extLst>
        </xdr:cNvPr>
        <xdr:cNvGrpSpPr/>
      </xdr:nvGrpSpPr>
      <xdr:grpSpPr>
        <a:xfrm>
          <a:off x="5591175" y="14192250"/>
          <a:ext cx="1703614" cy="791935"/>
          <a:chOff x="6076950" y="10163175"/>
          <a:chExt cx="1703614" cy="791935"/>
        </a:xfrm>
      </xdr:grpSpPr>
      <xdr:sp macro="" textlink="">
        <xdr:nvSpPr>
          <xdr:cNvPr id="3015" name="Freeform: Shape 3014">
            <a:extLst>
              <a:ext uri="{FF2B5EF4-FFF2-40B4-BE49-F238E27FC236}">
                <a16:creationId xmlns:a16="http://schemas.microsoft.com/office/drawing/2014/main" id="{8F865B27-6267-402E-A648-6A0C0191F42B}"/>
              </a:ext>
            </a:extLst>
          </xdr:cNvPr>
          <xdr:cNvSpPr/>
        </xdr:nvSpPr>
        <xdr:spPr>
          <a:xfrm>
            <a:off x="6315075" y="10610850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016" name="Freeform: Shape 3015">
            <a:extLst>
              <a:ext uri="{FF2B5EF4-FFF2-40B4-BE49-F238E27FC236}">
                <a16:creationId xmlns:a16="http://schemas.microsoft.com/office/drawing/2014/main" id="{4FC15B5E-023C-465B-9E3B-EF9FCD8BC168}"/>
              </a:ext>
            </a:extLst>
          </xdr:cNvPr>
          <xdr:cNvSpPr/>
        </xdr:nvSpPr>
        <xdr:spPr>
          <a:xfrm>
            <a:off x="6777037" y="104108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017" name="Freeform: Shape 3016">
            <a:extLst>
              <a:ext uri="{FF2B5EF4-FFF2-40B4-BE49-F238E27FC236}">
                <a16:creationId xmlns:a16="http://schemas.microsoft.com/office/drawing/2014/main" id="{20B367D7-098E-4C86-AA2B-9679CDD0E6A7}"/>
              </a:ext>
            </a:extLst>
          </xdr:cNvPr>
          <xdr:cNvSpPr/>
        </xdr:nvSpPr>
        <xdr:spPr>
          <a:xfrm>
            <a:off x="7243762" y="10220325"/>
            <a:ext cx="461962" cy="195262"/>
          </a:xfrm>
          <a:custGeom>
            <a:avLst/>
            <a:gdLst>
              <a:gd name="connsiteX0" fmla="*/ 461962 w 461962"/>
              <a:gd name="connsiteY0" fmla="*/ 0 h 195262"/>
              <a:gd name="connsiteX1" fmla="*/ 0 w 461962"/>
              <a:gd name="connsiteY1" fmla="*/ 0 h 195262"/>
              <a:gd name="connsiteX2" fmla="*/ 0 w 461962"/>
              <a:gd name="connsiteY2" fmla="*/ 195262 h 195262"/>
              <a:gd name="connsiteX3" fmla="*/ 461962 w 461962"/>
              <a:gd name="connsiteY3" fmla="*/ 0 h 1952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61962" h="195262">
                <a:moveTo>
                  <a:pt x="461962" y="0"/>
                </a:moveTo>
                <a:lnTo>
                  <a:pt x="0" y="0"/>
                </a:lnTo>
                <a:lnTo>
                  <a:pt x="0" y="195262"/>
                </a:lnTo>
                <a:lnTo>
                  <a:pt x="461962" y="0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018" name="Straight Connector 3017">
            <a:extLst>
              <a:ext uri="{FF2B5EF4-FFF2-40B4-BE49-F238E27FC236}">
                <a16:creationId xmlns:a16="http://schemas.microsoft.com/office/drawing/2014/main" id="{B04E88D5-A1AC-40C9-93AD-D688C638F617}"/>
              </a:ext>
            </a:extLst>
          </xdr:cNvPr>
          <xdr:cNvCxnSpPr/>
        </xdr:nvCxnSpPr>
        <xdr:spPr>
          <a:xfrm flipV="1">
            <a:off x="6315075" y="10163175"/>
            <a:ext cx="0" cy="4095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9" name="Straight Connector 3018">
            <a:extLst>
              <a:ext uri="{FF2B5EF4-FFF2-40B4-BE49-F238E27FC236}">
                <a16:creationId xmlns:a16="http://schemas.microsoft.com/office/drawing/2014/main" id="{85F1CA55-B3DB-46F9-B3FA-54C1E703F3B5}"/>
              </a:ext>
            </a:extLst>
          </xdr:cNvPr>
          <xdr:cNvCxnSpPr/>
        </xdr:nvCxnSpPr>
        <xdr:spPr>
          <a:xfrm>
            <a:off x="6262688" y="10239375"/>
            <a:ext cx="6048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0" name="Straight Connector 3019">
            <a:extLst>
              <a:ext uri="{FF2B5EF4-FFF2-40B4-BE49-F238E27FC236}">
                <a16:creationId xmlns:a16="http://schemas.microsoft.com/office/drawing/2014/main" id="{226F2E0D-B022-401C-9F57-1CCA16B63D4C}"/>
              </a:ext>
            </a:extLst>
          </xdr:cNvPr>
          <xdr:cNvCxnSpPr/>
        </xdr:nvCxnSpPr>
        <xdr:spPr>
          <a:xfrm flipH="1">
            <a:off x="6272213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1" name="Straight Connector 3020">
            <a:extLst>
              <a:ext uri="{FF2B5EF4-FFF2-40B4-BE49-F238E27FC236}">
                <a16:creationId xmlns:a16="http://schemas.microsoft.com/office/drawing/2014/main" id="{143F876F-0BB4-4A66-9421-2D6AE0EC9ECB}"/>
              </a:ext>
            </a:extLst>
          </xdr:cNvPr>
          <xdr:cNvCxnSpPr/>
        </xdr:nvCxnSpPr>
        <xdr:spPr>
          <a:xfrm flipV="1">
            <a:off x="6777037" y="10163175"/>
            <a:ext cx="0" cy="1952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2" name="Straight Connector 3021">
            <a:extLst>
              <a:ext uri="{FF2B5EF4-FFF2-40B4-BE49-F238E27FC236}">
                <a16:creationId xmlns:a16="http://schemas.microsoft.com/office/drawing/2014/main" id="{81A80481-28EC-4A6B-B141-AB8308839A95}"/>
              </a:ext>
            </a:extLst>
          </xdr:cNvPr>
          <xdr:cNvCxnSpPr/>
        </xdr:nvCxnSpPr>
        <xdr:spPr>
          <a:xfrm flipH="1">
            <a:off x="6734175" y="10196514"/>
            <a:ext cx="8096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3" name="Straight Connector 3022">
            <a:extLst>
              <a:ext uri="{FF2B5EF4-FFF2-40B4-BE49-F238E27FC236}">
                <a16:creationId xmlns:a16="http://schemas.microsoft.com/office/drawing/2014/main" id="{E75AE866-1936-4461-B48D-8583CE741920}"/>
              </a:ext>
            </a:extLst>
          </xdr:cNvPr>
          <xdr:cNvCxnSpPr/>
        </xdr:nvCxnSpPr>
        <xdr:spPr>
          <a:xfrm flipH="1">
            <a:off x="6076950" y="10606769"/>
            <a:ext cx="209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4" name="Straight Connector 3023">
            <a:extLst>
              <a:ext uri="{FF2B5EF4-FFF2-40B4-BE49-F238E27FC236}">
                <a16:creationId xmlns:a16="http://schemas.microsoft.com/office/drawing/2014/main" id="{D31A7004-3E5B-43B6-9340-31673CC2DFDF}"/>
              </a:ext>
            </a:extLst>
          </xdr:cNvPr>
          <xdr:cNvCxnSpPr/>
        </xdr:nvCxnSpPr>
        <xdr:spPr>
          <a:xfrm>
            <a:off x="6153150" y="10553700"/>
            <a:ext cx="0" cy="32521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5" name="Straight Connector 3024">
            <a:extLst>
              <a:ext uri="{FF2B5EF4-FFF2-40B4-BE49-F238E27FC236}">
                <a16:creationId xmlns:a16="http://schemas.microsoft.com/office/drawing/2014/main" id="{5A6CBF3D-9906-4E94-928D-49E5E8361034}"/>
              </a:ext>
            </a:extLst>
          </xdr:cNvPr>
          <xdr:cNvCxnSpPr/>
        </xdr:nvCxnSpPr>
        <xdr:spPr>
          <a:xfrm flipH="1">
            <a:off x="6094640" y="10810875"/>
            <a:ext cx="1680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6" name="Straight Connector 3025">
            <a:extLst>
              <a:ext uri="{FF2B5EF4-FFF2-40B4-BE49-F238E27FC236}">
                <a16:creationId xmlns:a16="http://schemas.microsoft.com/office/drawing/2014/main" id="{5E4F4472-1457-4910-B71B-77C2E221B692}"/>
              </a:ext>
            </a:extLst>
          </xdr:cNvPr>
          <xdr:cNvCxnSpPr/>
        </xdr:nvCxnSpPr>
        <xdr:spPr>
          <a:xfrm flipH="1">
            <a:off x="6110287" y="10768012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7" name="Straight Connector 3026">
            <a:extLst>
              <a:ext uri="{FF2B5EF4-FFF2-40B4-BE49-F238E27FC236}">
                <a16:creationId xmlns:a16="http://schemas.microsoft.com/office/drawing/2014/main" id="{D5BF0865-86C5-4FE6-B51D-125B542B82D4}"/>
              </a:ext>
            </a:extLst>
          </xdr:cNvPr>
          <xdr:cNvCxnSpPr/>
        </xdr:nvCxnSpPr>
        <xdr:spPr>
          <a:xfrm flipH="1">
            <a:off x="6110287" y="1056390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28" name="Freeform: Shape 3027">
            <a:extLst>
              <a:ext uri="{FF2B5EF4-FFF2-40B4-BE49-F238E27FC236}">
                <a16:creationId xmlns:a16="http://schemas.microsoft.com/office/drawing/2014/main" id="{EF910593-F645-4C20-8C4C-94D0D841CB2F}"/>
              </a:ext>
            </a:extLst>
          </xdr:cNvPr>
          <xdr:cNvSpPr/>
        </xdr:nvSpPr>
        <xdr:spPr>
          <a:xfrm>
            <a:off x="6289221" y="10221685"/>
            <a:ext cx="1491343" cy="733425"/>
          </a:xfrm>
          <a:custGeom>
            <a:avLst/>
            <a:gdLst>
              <a:gd name="connsiteX0" fmla="*/ 68036 w 1504950"/>
              <a:gd name="connsiteY0" fmla="*/ 740229 h 740229"/>
              <a:gd name="connsiteX1" fmla="*/ 51708 w 1504950"/>
              <a:gd name="connsiteY1" fmla="*/ 685800 h 740229"/>
              <a:gd name="connsiteX2" fmla="*/ 76200 w 1504950"/>
              <a:gd name="connsiteY2" fmla="*/ 661307 h 740229"/>
              <a:gd name="connsiteX3" fmla="*/ 0 w 1504950"/>
              <a:gd name="connsiteY3" fmla="*/ 680357 h 740229"/>
              <a:gd name="connsiteX4" fmla="*/ 35379 w 1504950"/>
              <a:gd name="connsiteY4" fmla="*/ 639536 h 740229"/>
              <a:gd name="connsiteX5" fmla="*/ 24493 w 1504950"/>
              <a:gd name="connsiteY5" fmla="*/ 593272 h 740229"/>
              <a:gd name="connsiteX6" fmla="*/ 1426029 w 1504950"/>
              <a:gd name="connsiteY6" fmla="*/ 0 h 740229"/>
              <a:gd name="connsiteX7" fmla="*/ 1445079 w 1504950"/>
              <a:gd name="connsiteY7" fmla="*/ 57150 h 740229"/>
              <a:gd name="connsiteX8" fmla="*/ 1415143 w 1504950"/>
              <a:gd name="connsiteY8" fmla="*/ 81643 h 740229"/>
              <a:gd name="connsiteX9" fmla="*/ 1504950 w 1504950"/>
              <a:gd name="connsiteY9" fmla="*/ 65314 h 740229"/>
              <a:gd name="connsiteX10" fmla="*/ 1464129 w 1504950"/>
              <a:gd name="connsiteY10" fmla="*/ 100693 h 740229"/>
              <a:gd name="connsiteX11" fmla="*/ 1480458 w 1504950"/>
              <a:gd name="connsiteY11" fmla="*/ 138793 h 740229"/>
              <a:gd name="connsiteX12" fmla="*/ 68036 w 1504950"/>
              <a:gd name="connsiteY12" fmla="*/ 740229 h 7402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504950" h="740229">
                <a:moveTo>
                  <a:pt x="68036" y="740229"/>
                </a:moveTo>
                <a:lnTo>
                  <a:pt x="51708" y="685800"/>
                </a:lnTo>
                <a:lnTo>
                  <a:pt x="76200" y="661307"/>
                </a:lnTo>
                <a:lnTo>
                  <a:pt x="0" y="680357"/>
                </a:lnTo>
                <a:lnTo>
                  <a:pt x="35379" y="639536"/>
                </a:lnTo>
                <a:lnTo>
                  <a:pt x="24493" y="593272"/>
                </a:lnTo>
                <a:lnTo>
                  <a:pt x="1426029" y="0"/>
                </a:lnTo>
                <a:lnTo>
                  <a:pt x="1445079" y="57150"/>
                </a:lnTo>
                <a:lnTo>
                  <a:pt x="1415143" y="81643"/>
                </a:lnTo>
                <a:lnTo>
                  <a:pt x="1504950" y="65314"/>
                </a:lnTo>
                <a:lnTo>
                  <a:pt x="1464129" y="100693"/>
                </a:lnTo>
                <a:lnTo>
                  <a:pt x="1480458" y="138793"/>
                </a:lnTo>
                <a:lnTo>
                  <a:pt x="68036" y="740229"/>
                </a:lnTo>
                <a:close/>
              </a:path>
            </a:pathLst>
          </a:custGeom>
          <a:blipFill>
            <a:blip xmlns:r="http://schemas.openxmlformats.org/officeDocument/2006/relationships" r:embed="rId3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31</xdr:col>
      <xdr:colOff>101647</xdr:colOff>
      <xdr:row>69</xdr:row>
      <xdr:rowOff>85726</xdr:rowOff>
    </xdr:from>
    <xdr:to>
      <xdr:col>54</xdr:col>
      <xdr:colOff>107904</xdr:colOff>
      <xdr:row>86</xdr:row>
      <xdr:rowOff>47625</xdr:rowOff>
    </xdr:to>
    <xdr:pic>
      <xdr:nvPicPr>
        <xdr:cNvPr id="3203" name="Picture 3202">
          <a:extLst>
            <a:ext uri="{FF2B5EF4-FFF2-40B4-BE49-F238E27FC236}">
              <a16:creationId xmlns:a16="http://schemas.microsoft.com/office/drawing/2014/main" id="{9D472B04-ABAA-4DC6-BCE0-72A9BD2292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20" t="26067" r="50867" b="43447"/>
        <a:stretch/>
      </xdr:blipFill>
      <xdr:spPr bwMode="auto">
        <a:xfrm>
          <a:off x="5121322" y="10925176"/>
          <a:ext cx="3730532" cy="2390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71438</xdr:colOff>
      <xdr:row>54</xdr:row>
      <xdr:rowOff>61913</xdr:rowOff>
    </xdr:from>
    <xdr:to>
      <xdr:col>31</xdr:col>
      <xdr:colOff>90488</xdr:colOff>
      <xdr:row>100</xdr:row>
      <xdr:rowOff>85725</xdr:rowOff>
    </xdr:to>
    <xdr:grpSp>
      <xdr:nvGrpSpPr>
        <xdr:cNvPr id="282" name="Group 281">
          <a:extLst>
            <a:ext uri="{FF2B5EF4-FFF2-40B4-BE49-F238E27FC236}">
              <a16:creationId xmlns:a16="http://schemas.microsoft.com/office/drawing/2014/main" id="{57EE8EA3-49DD-49DD-BD20-A57AC39A7DEC}"/>
            </a:ext>
          </a:extLst>
        </xdr:cNvPr>
        <xdr:cNvGrpSpPr/>
      </xdr:nvGrpSpPr>
      <xdr:grpSpPr>
        <a:xfrm>
          <a:off x="395288" y="8758238"/>
          <a:ext cx="4714875" cy="6596062"/>
          <a:chOff x="395288" y="97559813"/>
          <a:chExt cx="4714875" cy="6596062"/>
        </a:xfrm>
      </xdr:grpSpPr>
      <xdr:cxnSp macro="">
        <xdr:nvCxnSpPr>
          <xdr:cNvPr id="3030" name="Straight Connector 3029">
            <a:extLst>
              <a:ext uri="{FF2B5EF4-FFF2-40B4-BE49-F238E27FC236}">
                <a16:creationId xmlns:a16="http://schemas.microsoft.com/office/drawing/2014/main" id="{D12F2EE8-4365-47D1-8CB5-A26E8304970A}"/>
              </a:ext>
            </a:extLst>
          </xdr:cNvPr>
          <xdr:cNvCxnSpPr/>
        </xdr:nvCxnSpPr>
        <xdr:spPr>
          <a:xfrm>
            <a:off x="1138238" y="102193726"/>
            <a:ext cx="1624012" cy="10477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1" name="Straight Connector 3030">
            <a:extLst>
              <a:ext uri="{FF2B5EF4-FFF2-40B4-BE49-F238E27FC236}">
                <a16:creationId xmlns:a16="http://schemas.microsoft.com/office/drawing/2014/main" id="{53CA7162-72E3-40EC-9D8D-429936B38E8F}"/>
              </a:ext>
            </a:extLst>
          </xdr:cNvPr>
          <xdr:cNvCxnSpPr/>
        </xdr:nvCxnSpPr>
        <xdr:spPr>
          <a:xfrm flipH="1">
            <a:off x="2748887" y="98217038"/>
            <a:ext cx="327689" cy="1814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2" name="Straight Connector 3031">
            <a:extLst>
              <a:ext uri="{FF2B5EF4-FFF2-40B4-BE49-F238E27FC236}">
                <a16:creationId xmlns:a16="http://schemas.microsoft.com/office/drawing/2014/main" id="{57AFF00E-854B-4C3D-A0D8-3DC163C7783C}"/>
              </a:ext>
            </a:extLst>
          </xdr:cNvPr>
          <xdr:cNvCxnSpPr/>
        </xdr:nvCxnSpPr>
        <xdr:spPr>
          <a:xfrm>
            <a:off x="1900238" y="98217038"/>
            <a:ext cx="852487" cy="21383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3" name="Straight Connector 3032">
            <a:extLst>
              <a:ext uri="{FF2B5EF4-FFF2-40B4-BE49-F238E27FC236}">
                <a16:creationId xmlns:a16="http://schemas.microsoft.com/office/drawing/2014/main" id="{CFE98772-7ADA-40FD-B3FF-1F6F467D357C}"/>
              </a:ext>
            </a:extLst>
          </xdr:cNvPr>
          <xdr:cNvCxnSpPr/>
        </xdr:nvCxnSpPr>
        <xdr:spPr>
          <a:xfrm>
            <a:off x="1128713" y="98850450"/>
            <a:ext cx="1624012" cy="18049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4" name="Straight Connector 3033">
            <a:extLst>
              <a:ext uri="{FF2B5EF4-FFF2-40B4-BE49-F238E27FC236}">
                <a16:creationId xmlns:a16="http://schemas.microsoft.com/office/drawing/2014/main" id="{6D484C5A-D81A-4907-85CB-7E0EC954177F}"/>
              </a:ext>
            </a:extLst>
          </xdr:cNvPr>
          <xdr:cNvCxnSpPr/>
        </xdr:nvCxnSpPr>
        <xdr:spPr>
          <a:xfrm>
            <a:off x="1138238" y="99445763"/>
            <a:ext cx="1614487" cy="1328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5" name="Straight Connector 3034">
            <a:extLst>
              <a:ext uri="{FF2B5EF4-FFF2-40B4-BE49-F238E27FC236}">
                <a16:creationId xmlns:a16="http://schemas.microsoft.com/office/drawing/2014/main" id="{93B1873F-5367-43F4-856F-0C0206553385}"/>
              </a:ext>
            </a:extLst>
          </xdr:cNvPr>
          <xdr:cNvCxnSpPr/>
        </xdr:nvCxnSpPr>
        <xdr:spPr>
          <a:xfrm>
            <a:off x="1147763" y="100441125"/>
            <a:ext cx="1600200" cy="7334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6" name="Straight Connector 3035">
            <a:extLst>
              <a:ext uri="{FF2B5EF4-FFF2-40B4-BE49-F238E27FC236}">
                <a16:creationId xmlns:a16="http://schemas.microsoft.com/office/drawing/2014/main" id="{BDBD552F-D575-4033-A4BA-092A0DE7516A}"/>
              </a:ext>
            </a:extLst>
          </xdr:cNvPr>
          <xdr:cNvCxnSpPr/>
        </xdr:nvCxnSpPr>
        <xdr:spPr>
          <a:xfrm>
            <a:off x="1143000" y="100903088"/>
            <a:ext cx="1609725" cy="5334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7" name="Straight Connector 3036">
            <a:extLst>
              <a:ext uri="{FF2B5EF4-FFF2-40B4-BE49-F238E27FC236}">
                <a16:creationId xmlns:a16="http://schemas.microsoft.com/office/drawing/2014/main" id="{1F908A44-77BF-4384-A309-64AE45B2D40B}"/>
              </a:ext>
            </a:extLst>
          </xdr:cNvPr>
          <xdr:cNvCxnSpPr/>
        </xdr:nvCxnSpPr>
        <xdr:spPr>
          <a:xfrm flipV="1">
            <a:off x="2752725" y="100907850"/>
            <a:ext cx="1619250" cy="52965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8" name="Straight Connector 3037">
            <a:extLst>
              <a:ext uri="{FF2B5EF4-FFF2-40B4-BE49-F238E27FC236}">
                <a16:creationId xmlns:a16="http://schemas.microsoft.com/office/drawing/2014/main" id="{97F5E1C7-E6D1-47F9-83BB-5EF413559A1A}"/>
              </a:ext>
            </a:extLst>
          </xdr:cNvPr>
          <xdr:cNvCxnSpPr/>
        </xdr:nvCxnSpPr>
        <xdr:spPr>
          <a:xfrm flipV="1">
            <a:off x="2752725" y="99964875"/>
            <a:ext cx="1614488" cy="9906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9" name="Straight Connector 3038">
            <a:extLst>
              <a:ext uri="{FF2B5EF4-FFF2-40B4-BE49-F238E27FC236}">
                <a16:creationId xmlns:a16="http://schemas.microsoft.com/office/drawing/2014/main" id="{F71409A1-DF8C-4ABE-BEDC-CBDF33742069}"/>
              </a:ext>
            </a:extLst>
          </xdr:cNvPr>
          <xdr:cNvCxnSpPr/>
        </xdr:nvCxnSpPr>
        <xdr:spPr>
          <a:xfrm flipV="1">
            <a:off x="2747963" y="99460050"/>
            <a:ext cx="1628775" cy="1314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0" name="Straight Connector 3039">
            <a:extLst>
              <a:ext uri="{FF2B5EF4-FFF2-40B4-BE49-F238E27FC236}">
                <a16:creationId xmlns:a16="http://schemas.microsoft.com/office/drawing/2014/main" id="{0E0581D1-BD6A-4085-A979-FF2A3B316DEB}"/>
              </a:ext>
            </a:extLst>
          </xdr:cNvPr>
          <xdr:cNvCxnSpPr/>
        </xdr:nvCxnSpPr>
        <xdr:spPr>
          <a:xfrm flipV="1">
            <a:off x="2752725" y="98855213"/>
            <a:ext cx="1619250" cy="1790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1" name="Straight Connector 3040">
            <a:extLst>
              <a:ext uri="{FF2B5EF4-FFF2-40B4-BE49-F238E27FC236}">
                <a16:creationId xmlns:a16="http://schemas.microsoft.com/office/drawing/2014/main" id="{63360EC2-0B73-4713-8208-CC9AA24E8DE4}"/>
              </a:ext>
            </a:extLst>
          </xdr:cNvPr>
          <xdr:cNvCxnSpPr/>
        </xdr:nvCxnSpPr>
        <xdr:spPr>
          <a:xfrm flipH="1">
            <a:off x="2752725" y="98207513"/>
            <a:ext cx="852488" cy="21621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2" name="Straight Connector 3041">
            <a:extLst>
              <a:ext uri="{FF2B5EF4-FFF2-40B4-BE49-F238E27FC236}">
                <a16:creationId xmlns:a16="http://schemas.microsoft.com/office/drawing/2014/main" id="{21C6BB44-A3FD-42F3-A46B-E3DD0286F312}"/>
              </a:ext>
            </a:extLst>
          </xdr:cNvPr>
          <xdr:cNvCxnSpPr/>
        </xdr:nvCxnSpPr>
        <xdr:spPr>
          <a:xfrm flipV="1">
            <a:off x="2824163" y="98217038"/>
            <a:ext cx="252412" cy="14287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3" name="Straight Connector 3042">
            <a:extLst>
              <a:ext uri="{FF2B5EF4-FFF2-40B4-BE49-F238E27FC236}">
                <a16:creationId xmlns:a16="http://schemas.microsoft.com/office/drawing/2014/main" id="{D658C9C2-AEAA-4EF4-B101-C3AFA2E3B93E}"/>
              </a:ext>
            </a:extLst>
          </xdr:cNvPr>
          <xdr:cNvCxnSpPr/>
        </xdr:nvCxnSpPr>
        <xdr:spPr>
          <a:xfrm flipV="1">
            <a:off x="2752725" y="100455415"/>
            <a:ext cx="1624013" cy="71913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4" name="Straight Connector 3043">
            <a:extLst>
              <a:ext uri="{FF2B5EF4-FFF2-40B4-BE49-F238E27FC236}">
                <a16:creationId xmlns:a16="http://schemas.microsoft.com/office/drawing/2014/main" id="{C6C40D08-AD50-4A0D-A15F-A3E30A8BFC89}"/>
              </a:ext>
            </a:extLst>
          </xdr:cNvPr>
          <xdr:cNvCxnSpPr/>
        </xdr:nvCxnSpPr>
        <xdr:spPr>
          <a:xfrm flipV="1">
            <a:off x="2752725" y="98074163"/>
            <a:ext cx="0" cy="5791200"/>
          </a:xfrm>
          <a:prstGeom prst="line">
            <a:avLst/>
          </a:prstGeom>
          <a:ln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5" name="Straight Connector 3044">
            <a:extLst>
              <a:ext uri="{FF2B5EF4-FFF2-40B4-BE49-F238E27FC236}">
                <a16:creationId xmlns:a16="http://schemas.microsoft.com/office/drawing/2014/main" id="{182DC0C2-30DF-439E-9CB4-99C39E2E3D8C}"/>
              </a:ext>
            </a:extLst>
          </xdr:cNvPr>
          <xdr:cNvCxnSpPr/>
        </xdr:nvCxnSpPr>
        <xdr:spPr>
          <a:xfrm>
            <a:off x="2447925" y="98226563"/>
            <a:ext cx="301694" cy="1790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6" name="Straight Connector 3045">
            <a:extLst>
              <a:ext uri="{FF2B5EF4-FFF2-40B4-BE49-F238E27FC236}">
                <a16:creationId xmlns:a16="http://schemas.microsoft.com/office/drawing/2014/main" id="{E05C7228-33F0-47C9-8D7D-9D61D81F0FCA}"/>
              </a:ext>
            </a:extLst>
          </xdr:cNvPr>
          <xdr:cNvCxnSpPr/>
        </xdr:nvCxnSpPr>
        <xdr:spPr>
          <a:xfrm>
            <a:off x="1281113" y="98221800"/>
            <a:ext cx="1466850" cy="22907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7" name="Straight Connector 3046">
            <a:extLst>
              <a:ext uri="{FF2B5EF4-FFF2-40B4-BE49-F238E27FC236}">
                <a16:creationId xmlns:a16="http://schemas.microsoft.com/office/drawing/2014/main" id="{338AE4A7-0129-4F1B-89EE-A95FC84A8A3F}"/>
              </a:ext>
            </a:extLst>
          </xdr:cNvPr>
          <xdr:cNvCxnSpPr/>
        </xdr:nvCxnSpPr>
        <xdr:spPr>
          <a:xfrm flipV="1">
            <a:off x="2752725" y="98226565"/>
            <a:ext cx="1457325" cy="228599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8" name="Straight Connector 3047">
            <a:extLst>
              <a:ext uri="{FF2B5EF4-FFF2-40B4-BE49-F238E27FC236}">
                <a16:creationId xmlns:a16="http://schemas.microsoft.com/office/drawing/2014/main" id="{CEFF74B5-B9B6-48F7-B687-17A4F943951F}"/>
              </a:ext>
            </a:extLst>
          </xdr:cNvPr>
          <xdr:cNvCxnSpPr/>
        </xdr:nvCxnSpPr>
        <xdr:spPr>
          <a:xfrm flipH="1" flipV="1">
            <a:off x="2446306" y="98212275"/>
            <a:ext cx="244509" cy="143827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9" name="Straight Connector 3048">
            <a:extLst>
              <a:ext uri="{FF2B5EF4-FFF2-40B4-BE49-F238E27FC236}">
                <a16:creationId xmlns:a16="http://schemas.microsoft.com/office/drawing/2014/main" id="{6C381A96-4F58-425D-B91B-F64E5BD63DF5}"/>
              </a:ext>
            </a:extLst>
          </xdr:cNvPr>
          <xdr:cNvCxnSpPr/>
        </xdr:nvCxnSpPr>
        <xdr:spPr>
          <a:xfrm flipH="1" flipV="1">
            <a:off x="1898346" y="98217038"/>
            <a:ext cx="701979" cy="17383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0" name="Straight Connector 3049">
            <a:extLst>
              <a:ext uri="{FF2B5EF4-FFF2-40B4-BE49-F238E27FC236}">
                <a16:creationId xmlns:a16="http://schemas.microsoft.com/office/drawing/2014/main" id="{EBA2AE82-B48C-4FFE-B1AA-0377EF39C79D}"/>
              </a:ext>
            </a:extLst>
          </xdr:cNvPr>
          <xdr:cNvCxnSpPr/>
        </xdr:nvCxnSpPr>
        <xdr:spPr>
          <a:xfrm flipH="1">
            <a:off x="2914651" y="98221800"/>
            <a:ext cx="683076" cy="173831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1" name="Straight Connector 3050">
            <a:extLst>
              <a:ext uri="{FF2B5EF4-FFF2-40B4-BE49-F238E27FC236}">
                <a16:creationId xmlns:a16="http://schemas.microsoft.com/office/drawing/2014/main" id="{05FD2960-B2AB-401F-BDD2-45CC6A7B8A37}"/>
              </a:ext>
            </a:extLst>
          </xdr:cNvPr>
          <xdr:cNvCxnSpPr/>
        </xdr:nvCxnSpPr>
        <xdr:spPr>
          <a:xfrm flipH="1" flipV="1">
            <a:off x="1281113" y="98217039"/>
            <a:ext cx="1319212" cy="206692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2" name="Straight Connector 3051">
            <a:extLst>
              <a:ext uri="{FF2B5EF4-FFF2-40B4-BE49-F238E27FC236}">
                <a16:creationId xmlns:a16="http://schemas.microsoft.com/office/drawing/2014/main" id="{3AD64B41-1933-4010-838C-C51A1F733E1B}"/>
              </a:ext>
            </a:extLst>
          </xdr:cNvPr>
          <xdr:cNvCxnSpPr/>
        </xdr:nvCxnSpPr>
        <xdr:spPr>
          <a:xfrm flipH="1">
            <a:off x="2909888" y="98217038"/>
            <a:ext cx="1300164" cy="20431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3" name="Straight Connector 3052">
            <a:extLst>
              <a:ext uri="{FF2B5EF4-FFF2-40B4-BE49-F238E27FC236}">
                <a16:creationId xmlns:a16="http://schemas.microsoft.com/office/drawing/2014/main" id="{12D0FF63-1FF3-4F32-9F60-22520B5780A8}"/>
              </a:ext>
            </a:extLst>
          </xdr:cNvPr>
          <xdr:cNvCxnSpPr/>
        </xdr:nvCxnSpPr>
        <xdr:spPr>
          <a:xfrm flipH="1" flipV="1">
            <a:off x="1133475" y="98850450"/>
            <a:ext cx="1457325" cy="162877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4" name="Straight Connector 3053">
            <a:extLst>
              <a:ext uri="{FF2B5EF4-FFF2-40B4-BE49-F238E27FC236}">
                <a16:creationId xmlns:a16="http://schemas.microsoft.com/office/drawing/2014/main" id="{BB59C043-4521-4CFC-9CA0-52E0FF9408E2}"/>
              </a:ext>
            </a:extLst>
          </xdr:cNvPr>
          <xdr:cNvCxnSpPr/>
        </xdr:nvCxnSpPr>
        <xdr:spPr>
          <a:xfrm flipH="1">
            <a:off x="2914650" y="98850450"/>
            <a:ext cx="1457326" cy="16192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5" name="Straight Connector 3054">
            <a:extLst>
              <a:ext uri="{FF2B5EF4-FFF2-40B4-BE49-F238E27FC236}">
                <a16:creationId xmlns:a16="http://schemas.microsoft.com/office/drawing/2014/main" id="{2E9C6968-4B2E-4D56-A885-D25DB236069E}"/>
              </a:ext>
            </a:extLst>
          </xdr:cNvPr>
          <xdr:cNvCxnSpPr/>
        </xdr:nvCxnSpPr>
        <xdr:spPr>
          <a:xfrm flipH="1" flipV="1">
            <a:off x="1133475" y="99441000"/>
            <a:ext cx="1462088" cy="1204914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6" name="Straight Connector 3055">
            <a:extLst>
              <a:ext uri="{FF2B5EF4-FFF2-40B4-BE49-F238E27FC236}">
                <a16:creationId xmlns:a16="http://schemas.microsoft.com/office/drawing/2014/main" id="{692C2704-73C7-4836-9482-54E40629A066}"/>
              </a:ext>
            </a:extLst>
          </xdr:cNvPr>
          <xdr:cNvCxnSpPr/>
        </xdr:nvCxnSpPr>
        <xdr:spPr>
          <a:xfrm flipH="1">
            <a:off x="2909888" y="99464813"/>
            <a:ext cx="1466850" cy="118586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7" name="Straight Connector 3056">
            <a:extLst>
              <a:ext uri="{FF2B5EF4-FFF2-40B4-BE49-F238E27FC236}">
                <a16:creationId xmlns:a16="http://schemas.microsoft.com/office/drawing/2014/main" id="{A9660825-0E13-4690-A2EC-2EBB8ED1C943}"/>
              </a:ext>
            </a:extLst>
          </xdr:cNvPr>
          <xdr:cNvCxnSpPr/>
        </xdr:nvCxnSpPr>
        <xdr:spPr>
          <a:xfrm flipH="1" flipV="1">
            <a:off x="1133475" y="99955351"/>
            <a:ext cx="1462088" cy="90963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8" name="Straight Connector 3057">
            <a:extLst>
              <a:ext uri="{FF2B5EF4-FFF2-40B4-BE49-F238E27FC236}">
                <a16:creationId xmlns:a16="http://schemas.microsoft.com/office/drawing/2014/main" id="{DB2D6A2E-CCAA-41FE-BEC7-BE879BA8DB02}"/>
              </a:ext>
            </a:extLst>
          </xdr:cNvPr>
          <xdr:cNvCxnSpPr/>
        </xdr:nvCxnSpPr>
        <xdr:spPr>
          <a:xfrm flipH="1">
            <a:off x="2914650" y="99964875"/>
            <a:ext cx="1457325" cy="8953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9" name="Straight Connector 3058">
            <a:extLst>
              <a:ext uri="{FF2B5EF4-FFF2-40B4-BE49-F238E27FC236}">
                <a16:creationId xmlns:a16="http://schemas.microsoft.com/office/drawing/2014/main" id="{B482DEE1-2056-46AE-8D28-A13D1D39F766}"/>
              </a:ext>
            </a:extLst>
          </xdr:cNvPr>
          <xdr:cNvCxnSpPr/>
        </xdr:nvCxnSpPr>
        <xdr:spPr>
          <a:xfrm flipH="1" flipV="1">
            <a:off x="1133475" y="100441126"/>
            <a:ext cx="1457325" cy="6619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0" name="Straight Connector 3059">
            <a:extLst>
              <a:ext uri="{FF2B5EF4-FFF2-40B4-BE49-F238E27FC236}">
                <a16:creationId xmlns:a16="http://schemas.microsoft.com/office/drawing/2014/main" id="{4B3CFC0D-AEF7-41B6-9D65-E84F30347E5E}"/>
              </a:ext>
            </a:extLst>
          </xdr:cNvPr>
          <xdr:cNvCxnSpPr/>
        </xdr:nvCxnSpPr>
        <xdr:spPr>
          <a:xfrm flipH="1">
            <a:off x="2909888" y="100460175"/>
            <a:ext cx="1466851" cy="64293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1" name="Straight Connector 3060">
            <a:extLst>
              <a:ext uri="{FF2B5EF4-FFF2-40B4-BE49-F238E27FC236}">
                <a16:creationId xmlns:a16="http://schemas.microsoft.com/office/drawing/2014/main" id="{CA7D452C-202C-41B4-9782-817CD50A3BB6}"/>
              </a:ext>
            </a:extLst>
          </xdr:cNvPr>
          <xdr:cNvCxnSpPr/>
        </xdr:nvCxnSpPr>
        <xdr:spPr>
          <a:xfrm flipH="1" flipV="1">
            <a:off x="1133475" y="100903088"/>
            <a:ext cx="1462088" cy="4810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2" name="Straight Connector 3061">
            <a:extLst>
              <a:ext uri="{FF2B5EF4-FFF2-40B4-BE49-F238E27FC236}">
                <a16:creationId xmlns:a16="http://schemas.microsoft.com/office/drawing/2014/main" id="{91C330EC-FEC7-4F79-BAC1-9A191C0CA06C}"/>
              </a:ext>
            </a:extLst>
          </xdr:cNvPr>
          <xdr:cNvCxnSpPr/>
        </xdr:nvCxnSpPr>
        <xdr:spPr>
          <a:xfrm flipH="1">
            <a:off x="2914650" y="100912613"/>
            <a:ext cx="1457327" cy="47625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3" name="Straight Connector 3062">
            <a:extLst>
              <a:ext uri="{FF2B5EF4-FFF2-40B4-BE49-F238E27FC236}">
                <a16:creationId xmlns:a16="http://schemas.microsoft.com/office/drawing/2014/main" id="{2052E95C-9D04-4419-BFCA-9E16077ADAB7}"/>
              </a:ext>
            </a:extLst>
          </xdr:cNvPr>
          <xdr:cNvCxnSpPr/>
        </xdr:nvCxnSpPr>
        <xdr:spPr>
          <a:xfrm>
            <a:off x="1066799" y="103784400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4" name="Straight Connector 3063">
            <a:extLst>
              <a:ext uri="{FF2B5EF4-FFF2-40B4-BE49-F238E27FC236}">
                <a16:creationId xmlns:a16="http://schemas.microsoft.com/office/drawing/2014/main" id="{9BEA056F-82D8-4B37-9425-4CDEC1023372}"/>
              </a:ext>
            </a:extLst>
          </xdr:cNvPr>
          <xdr:cNvCxnSpPr/>
        </xdr:nvCxnSpPr>
        <xdr:spPr>
          <a:xfrm>
            <a:off x="1133475" y="102970013"/>
            <a:ext cx="0" cy="1166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5" name="Straight Connector 3064">
            <a:extLst>
              <a:ext uri="{FF2B5EF4-FFF2-40B4-BE49-F238E27FC236}">
                <a16:creationId xmlns:a16="http://schemas.microsoft.com/office/drawing/2014/main" id="{27933B5F-330D-4263-BDA6-EC28D35A36C2}"/>
              </a:ext>
            </a:extLst>
          </xdr:cNvPr>
          <xdr:cNvCxnSpPr/>
        </xdr:nvCxnSpPr>
        <xdr:spPr>
          <a:xfrm flipH="1">
            <a:off x="1090613" y="1037462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6" name="Straight Connector 3065">
            <a:extLst>
              <a:ext uri="{FF2B5EF4-FFF2-40B4-BE49-F238E27FC236}">
                <a16:creationId xmlns:a16="http://schemas.microsoft.com/office/drawing/2014/main" id="{B2A3ABA6-DD4D-4B09-A0E1-2D2D12109184}"/>
              </a:ext>
            </a:extLst>
          </xdr:cNvPr>
          <xdr:cNvCxnSpPr/>
        </xdr:nvCxnSpPr>
        <xdr:spPr>
          <a:xfrm>
            <a:off x="4371975" y="102989063"/>
            <a:ext cx="0" cy="1166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7" name="Straight Connector 3066">
            <a:extLst>
              <a:ext uri="{FF2B5EF4-FFF2-40B4-BE49-F238E27FC236}">
                <a16:creationId xmlns:a16="http://schemas.microsoft.com/office/drawing/2014/main" id="{F91E765C-6252-4571-B2EA-D808617D9B2E}"/>
              </a:ext>
            </a:extLst>
          </xdr:cNvPr>
          <xdr:cNvCxnSpPr/>
        </xdr:nvCxnSpPr>
        <xdr:spPr>
          <a:xfrm flipH="1">
            <a:off x="4329113" y="10374629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8" name="Straight Connector 3067">
            <a:extLst>
              <a:ext uri="{FF2B5EF4-FFF2-40B4-BE49-F238E27FC236}">
                <a16:creationId xmlns:a16="http://schemas.microsoft.com/office/drawing/2014/main" id="{3EC09152-1C81-41F1-8A92-E362A40F8871}"/>
              </a:ext>
            </a:extLst>
          </xdr:cNvPr>
          <xdr:cNvCxnSpPr/>
        </xdr:nvCxnSpPr>
        <xdr:spPr>
          <a:xfrm flipH="1">
            <a:off x="2709862" y="10374630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9" name="Straight Connector 3068">
            <a:extLst>
              <a:ext uri="{FF2B5EF4-FFF2-40B4-BE49-F238E27FC236}">
                <a16:creationId xmlns:a16="http://schemas.microsoft.com/office/drawing/2014/main" id="{D5A642C1-748A-48F9-819F-0D485D04DA74}"/>
              </a:ext>
            </a:extLst>
          </xdr:cNvPr>
          <xdr:cNvCxnSpPr/>
        </xdr:nvCxnSpPr>
        <xdr:spPr>
          <a:xfrm>
            <a:off x="1066800" y="103212900"/>
            <a:ext cx="33766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0" name="Straight Connector 3069">
            <a:extLst>
              <a:ext uri="{FF2B5EF4-FFF2-40B4-BE49-F238E27FC236}">
                <a16:creationId xmlns:a16="http://schemas.microsoft.com/office/drawing/2014/main" id="{9DA7A9D6-0445-4872-A608-4CA648879C9F}"/>
              </a:ext>
            </a:extLst>
          </xdr:cNvPr>
          <xdr:cNvCxnSpPr/>
        </xdr:nvCxnSpPr>
        <xdr:spPr>
          <a:xfrm>
            <a:off x="2590800" y="102974775"/>
            <a:ext cx="0" cy="3095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1" name="Straight Connector 3070">
            <a:extLst>
              <a:ext uri="{FF2B5EF4-FFF2-40B4-BE49-F238E27FC236}">
                <a16:creationId xmlns:a16="http://schemas.microsoft.com/office/drawing/2014/main" id="{269B3C1C-5E68-4C8B-A6AE-DC6F0F9CCA8C}"/>
              </a:ext>
            </a:extLst>
          </xdr:cNvPr>
          <xdr:cNvCxnSpPr/>
        </xdr:nvCxnSpPr>
        <xdr:spPr>
          <a:xfrm flipH="1">
            <a:off x="2543175" y="103170037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2" name="Straight Connector 3071">
            <a:extLst>
              <a:ext uri="{FF2B5EF4-FFF2-40B4-BE49-F238E27FC236}">
                <a16:creationId xmlns:a16="http://schemas.microsoft.com/office/drawing/2014/main" id="{D1084AC3-649B-4FBE-AC93-02D4962625F0}"/>
              </a:ext>
            </a:extLst>
          </xdr:cNvPr>
          <xdr:cNvCxnSpPr/>
        </xdr:nvCxnSpPr>
        <xdr:spPr>
          <a:xfrm>
            <a:off x="2914650" y="102984300"/>
            <a:ext cx="0" cy="3000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3" name="Straight Connector 3072">
            <a:extLst>
              <a:ext uri="{FF2B5EF4-FFF2-40B4-BE49-F238E27FC236}">
                <a16:creationId xmlns:a16="http://schemas.microsoft.com/office/drawing/2014/main" id="{836E59FA-36FF-44EE-AED6-42DD7402819D}"/>
              </a:ext>
            </a:extLst>
          </xdr:cNvPr>
          <xdr:cNvCxnSpPr/>
        </xdr:nvCxnSpPr>
        <xdr:spPr>
          <a:xfrm flipH="1">
            <a:off x="2867025" y="10317003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4" name="Straight Connector 3073">
            <a:extLst>
              <a:ext uri="{FF2B5EF4-FFF2-40B4-BE49-F238E27FC236}">
                <a16:creationId xmlns:a16="http://schemas.microsoft.com/office/drawing/2014/main" id="{295DEA53-0298-47EF-BA1E-C01244D303C1}"/>
              </a:ext>
            </a:extLst>
          </xdr:cNvPr>
          <xdr:cNvCxnSpPr/>
        </xdr:nvCxnSpPr>
        <xdr:spPr>
          <a:xfrm flipH="1">
            <a:off x="3195645" y="101674616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5" name="Straight Connector 3074">
            <a:extLst>
              <a:ext uri="{FF2B5EF4-FFF2-40B4-BE49-F238E27FC236}">
                <a16:creationId xmlns:a16="http://schemas.microsoft.com/office/drawing/2014/main" id="{33D5D356-18DB-4507-B985-EA9D5CFF3C78}"/>
              </a:ext>
            </a:extLst>
          </xdr:cNvPr>
          <xdr:cNvCxnSpPr/>
        </xdr:nvCxnSpPr>
        <xdr:spPr>
          <a:xfrm>
            <a:off x="1828800" y="102846206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6" name="Straight Connector 3075">
            <a:extLst>
              <a:ext uri="{FF2B5EF4-FFF2-40B4-BE49-F238E27FC236}">
                <a16:creationId xmlns:a16="http://schemas.microsoft.com/office/drawing/2014/main" id="{43EB88D3-F262-42E1-983A-917DE705B1A0}"/>
              </a:ext>
            </a:extLst>
          </xdr:cNvPr>
          <xdr:cNvCxnSpPr/>
        </xdr:nvCxnSpPr>
        <xdr:spPr>
          <a:xfrm>
            <a:off x="1890712" y="102846207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7" name="Straight Connector 3076">
            <a:extLst>
              <a:ext uri="{FF2B5EF4-FFF2-40B4-BE49-F238E27FC236}">
                <a16:creationId xmlns:a16="http://schemas.microsoft.com/office/drawing/2014/main" id="{C8D66D99-CA3F-4835-8FCD-E0B6C92C63F2}"/>
              </a:ext>
            </a:extLst>
          </xdr:cNvPr>
          <xdr:cNvCxnSpPr/>
        </xdr:nvCxnSpPr>
        <xdr:spPr>
          <a:xfrm flipH="1">
            <a:off x="1090613" y="103174792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8" name="Straight Connector 3077">
            <a:extLst>
              <a:ext uri="{FF2B5EF4-FFF2-40B4-BE49-F238E27FC236}">
                <a16:creationId xmlns:a16="http://schemas.microsoft.com/office/drawing/2014/main" id="{D34ADCD8-255E-4BC4-B3DD-EB89F1CA3899}"/>
              </a:ext>
            </a:extLst>
          </xdr:cNvPr>
          <xdr:cNvCxnSpPr/>
        </xdr:nvCxnSpPr>
        <xdr:spPr>
          <a:xfrm>
            <a:off x="1857375" y="103355775"/>
            <a:ext cx="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9" name="Straight Connector 3078">
            <a:extLst>
              <a:ext uri="{FF2B5EF4-FFF2-40B4-BE49-F238E27FC236}">
                <a16:creationId xmlns:a16="http://schemas.microsoft.com/office/drawing/2014/main" id="{7D3FEBBD-B5B1-45DA-95FC-05BF0EA2C1C9}"/>
              </a:ext>
            </a:extLst>
          </xdr:cNvPr>
          <xdr:cNvCxnSpPr/>
        </xdr:nvCxnSpPr>
        <xdr:spPr>
          <a:xfrm>
            <a:off x="3648075" y="103246238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0" name="Straight Connector 3079">
            <a:extLst>
              <a:ext uri="{FF2B5EF4-FFF2-40B4-BE49-F238E27FC236}">
                <a16:creationId xmlns:a16="http://schemas.microsoft.com/office/drawing/2014/main" id="{5C33C6F6-045B-410A-9EA5-D7FDEC1CA810}"/>
              </a:ext>
            </a:extLst>
          </xdr:cNvPr>
          <xdr:cNvCxnSpPr/>
        </xdr:nvCxnSpPr>
        <xdr:spPr>
          <a:xfrm flipH="1">
            <a:off x="3605212" y="103460559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1" name="Straight Connector 3080">
            <a:extLst>
              <a:ext uri="{FF2B5EF4-FFF2-40B4-BE49-F238E27FC236}">
                <a16:creationId xmlns:a16="http://schemas.microsoft.com/office/drawing/2014/main" id="{A47CAD5D-5F98-441E-90D3-63A636470A85}"/>
              </a:ext>
            </a:extLst>
          </xdr:cNvPr>
          <xdr:cNvCxnSpPr/>
        </xdr:nvCxnSpPr>
        <xdr:spPr>
          <a:xfrm flipV="1">
            <a:off x="1133475" y="97574100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2" name="Straight Connector 3081">
            <a:extLst>
              <a:ext uri="{FF2B5EF4-FFF2-40B4-BE49-F238E27FC236}">
                <a16:creationId xmlns:a16="http://schemas.microsoft.com/office/drawing/2014/main" id="{F305D0A5-1B51-453A-89D3-BEAD6AAA1FFA}"/>
              </a:ext>
            </a:extLst>
          </xdr:cNvPr>
          <xdr:cNvCxnSpPr/>
        </xdr:nvCxnSpPr>
        <xdr:spPr>
          <a:xfrm>
            <a:off x="1062038" y="9792652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3" name="Straight Connector 3082">
            <a:extLst>
              <a:ext uri="{FF2B5EF4-FFF2-40B4-BE49-F238E27FC236}">
                <a16:creationId xmlns:a16="http://schemas.microsoft.com/office/drawing/2014/main" id="{682F6746-C60C-4E63-803C-691C7A22BF89}"/>
              </a:ext>
            </a:extLst>
          </xdr:cNvPr>
          <xdr:cNvCxnSpPr/>
        </xdr:nvCxnSpPr>
        <xdr:spPr>
          <a:xfrm flipH="1">
            <a:off x="1090607" y="978931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4" name="Straight Connector 3083">
            <a:extLst>
              <a:ext uri="{FF2B5EF4-FFF2-40B4-BE49-F238E27FC236}">
                <a16:creationId xmlns:a16="http://schemas.microsoft.com/office/drawing/2014/main" id="{3F7F5621-87B3-47AA-A635-CE15ABD4681C}"/>
              </a:ext>
            </a:extLst>
          </xdr:cNvPr>
          <xdr:cNvCxnSpPr/>
        </xdr:nvCxnSpPr>
        <xdr:spPr>
          <a:xfrm>
            <a:off x="1281118" y="9785985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5" name="Straight Connector 3084">
            <a:extLst>
              <a:ext uri="{FF2B5EF4-FFF2-40B4-BE49-F238E27FC236}">
                <a16:creationId xmlns:a16="http://schemas.microsoft.com/office/drawing/2014/main" id="{36F174D2-45C2-4901-A2AA-F7AC2CF78632}"/>
              </a:ext>
            </a:extLst>
          </xdr:cNvPr>
          <xdr:cNvCxnSpPr/>
        </xdr:nvCxnSpPr>
        <xdr:spPr>
          <a:xfrm flipH="1">
            <a:off x="1233494" y="978884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6" name="Straight Connector 3085">
            <a:extLst>
              <a:ext uri="{FF2B5EF4-FFF2-40B4-BE49-F238E27FC236}">
                <a16:creationId xmlns:a16="http://schemas.microsoft.com/office/drawing/2014/main" id="{0FFE2E01-6775-4653-ABB6-7994365D046A}"/>
              </a:ext>
            </a:extLst>
          </xdr:cNvPr>
          <xdr:cNvCxnSpPr/>
        </xdr:nvCxnSpPr>
        <xdr:spPr>
          <a:xfrm>
            <a:off x="2752726" y="97559813"/>
            <a:ext cx="0" cy="5667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7" name="Straight Connector 3086">
            <a:extLst>
              <a:ext uri="{FF2B5EF4-FFF2-40B4-BE49-F238E27FC236}">
                <a16:creationId xmlns:a16="http://schemas.microsoft.com/office/drawing/2014/main" id="{28C6D4A8-CF8F-4C79-AB57-B68BEB0D64FE}"/>
              </a:ext>
            </a:extLst>
          </xdr:cNvPr>
          <xdr:cNvCxnSpPr/>
        </xdr:nvCxnSpPr>
        <xdr:spPr>
          <a:xfrm>
            <a:off x="4205291" y="97855087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8" name="Straight Connector 3087">
            <a:extLst>
              <a:ext uri="{FF2B5EF4-FFF2-40B4-BE49-F238E27FC236}">
                <a16:creationId xmlns:a16="http://schemas.microsoft.com/office/drawing/2014/main" id="{A93DC876-7C37-4868-982E-5B8FA1225474}"/>
              </a:ext>
            </a:extLst>
          </xdr:cNvPr>
          <xdr:cNvCxnSpPr/>
        </xdr:nvCxnSpPr>
        <xdr:spPr>
          <a:xfrm flipH="1">
            <a:off x="4162427" y="97883661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9" name="Straight Connector 3088">
            <a:extLst>
              <a:ext uri="{FF2B5EF4-FFF2-40B4-BE49-F238E27FC236}">
                <a16:creationId xmlns:a16="http://schemas.microsoft.com/office/drawing/2014/main" id="{434BF599-1968-43D3-AF6B-13536C1CF7E4}"/>
              </a:ext>
            </a:extLst>
          </xdr:cNvPr>
          <xdr:cNvCxnSpPr/>
        </xdr:nvCxnSpPr>
        <xdr:spPr>
          <a:xfrm flipV="1">
            <a:off x="4371975" y="97569337"/>
            <a:ext cx="0" cy="5762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0" name="Straight Connector 3089">
            <a:extLst>
              <a:ext uri="{FF2B5EF4-FFF2-40B4-BE49-F238E27FC236}">
                <a16:creationId xmlns:a16="http://schemas.microsoft.com/office/drawing/2014/main" id="{503B4DF1-B866-47C2-9472-DD1FE886ABEF}"/>
              </a:ext>
            </a:extLst>
          </xdr:cNvPr>
          <xdr:cNvCxnSpPr/>
        </xdr:nvCxnSpPr>
        <xdr:spPr>
          <a:xfrm flipH="1">
            <a:off x="4329113" y="978836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1" name="Straight Connector 3090">
            <a:extLst>
              <a:ext uri="{FF2B5EF4-FFF2-40B4-BE49-F238E27FC236}">
                <a16:creationId xmlns:a16="http://schemas.microsoft.com/office/drawing/2014/main" id="{67D5745F-0573-4909-93A1-506142582032}"/>
              </a:ext>
            </a:extLst>
          </xdr:cNvPr>
          <xdr:cNvCxnSpPr/>
        </xdr:nvCxnSpPr>
        <xdr:spPr>
          <a:xfrm>
            <a:off x="1057275" y="97640776"/>
            <a:ext cx="3405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2" name="Straight Connector 3091">
            <a:extLst>
              <a:ext uri="{FF2B5EF4-FFF2-40B4-BE49-F238E27FC236}">
                <a16:creationId xmlns:a16="http://schemas.microsoft.com/office/drawing/2014/main" id="{3DF2A5DC-D135-4BCD-98A0-E9F6B95C1F9C}"/>
              </a:ext>
            </a:extLst>
          </xdr:cNvPr>
          <xdr:cNvCxnSpPr/>
        </xdr:nvCxnSpPr>
        <xdr:spPr>
          <a:xfrm flipH="1">
            <a:off x="1085850" y="976026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3" name="Straight Connector 3092">
            <a:extLst>
              <a:ext uri="{FF2B5EF4-FFF2-40B4-BE49-F238E27FC236}">
                <a16:creationId xmlns:a16="http://schemas.microsoft.com/office/drawing/2014/main" id="{6CBD04B7-52FD-4850-81DA-8F55D8D340AD}"/>
              </a:ext>
            </a:extLst>
          </xdr:cNvPr>
          <xdr:cNvCxnSpPr/>
        </xdr:nvCxnSpPr>
        <xdr:spPr>
          <a:xfrm flipH="1">
            <a:off x="4324350" y="9759791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4" name="Straight Connector 3093">
            <a:extLst>
              <a:ext uri="{FF2B5EF4-FFF2-40B4-BE49-F238E27FC236}">
                <a16:creationId xmlns:a16="http://schemas.microsoft.com/office/drawing/2014/main" id="{F3EC6D90-69F4-49F9-9E32-297B02678C69}"/>
              </a:ext>
            </a:extLst>
          </xdr:cNvPr>
          <xdr:cNvCxnSpPr/>
        </xdr:nvCxnSpPr>
        <xdr:spPr>
          <a:xfrm flipH="1">
            <a:off x="2705101" y="9759791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5" name="Straight Connector 3094">
            <a:extLst>
              <a:ext uri="{FF2B5EF4-FFF2-40B4-BE49-F238E27FC236}">
                <a16:creationId xmlns:a16="http://schemas.microsoft.com/office/drawing/2014/main" id="{4BD3EC9E-C04A-4328-BA97-D7494A023829}"/>
              </a:ext>
            </a:extLst>
          </xdr:cNvPr>
          <xdr:cNvCxnSpPr/>
        </xdr:nvCxnSpPr>
        <xdr:spPr>
          <a:xfrm flipH="1">
            <a:off x="2705101" y="978884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6" name="Straight Connector 3095">
            <a:extLst>
              <a:ext uri="{FF2B5EF4-FFF2-40B4-BE49-F238E27FC236}">
                <a16:creationId xmlns:a16="http://schemas.microsoft.com/office/drawing/2014/main" id="{2ACFF9E6-7491-488B-A6B9-DDCE0F37382F}"/>
              </a:ext>
            </a:extLst>
          </xdr:cNvPr>
          <xdr:cNvCxnSpPr/>
        </xdr:nvCxnSpPr>
        <xdr:spPr>
          <a:xfrm flipH="1">
            <a:off x="409575" y="98212275"/>
            <a:ext cx="700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7" name="Straight Connector 3096">
            <a:extLst>
              <a:ext uri="{FF2B5EF4-FFF2-40B4-BE49-F238E27FC236}">
                <a16:creationId xmlns:a16="http://schemas.microsoft.com/office/drawing/2014/main" id="{0146DAA3-B440-4AAE-A1CB-D514527C12FC}"/>
              </a:ext>
            </a:extLst>
          </xdr:cNvPr>
          <xdr:cNvCxnSpPr/>
        </xdr:nvCxnSpPr>
        <xdr:spPr>
          <a:xfrm>
            <a:off x="809626" y="98145600"/>
            <a:ext cx="0" cy="4867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8" name="Straight Connector 3097">
            <a:extLst>
              <a:ext uri="{FF2B5EF4-FFF2-40B4-BE49-F238E27FC236}">
                <a16:creationId xmlns:a16="http://schemas.microsoft.com/office/drawing/2014/main" id="{AE553AFE-0B8A-4CC7-A534-F157DC54309B}"/>
              </a:ext>
            </a:extLst>
          </xdr:cNvPr>
          <xdr:cNvCxnSpPr/>
        </xdr:nvCxnSpPr>
        <xdr:spPr>
          <a:xfrm flipH="1">
            <a:off x="766763" y="9817417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9" name="Straight Connector 3098">
            <a:extLst>
              <a:ext uri="{FF2B5EF4-FFF2-40B4-BE49-F238E27FC236}">
                <a16:creationId xmlns:a16="http://schemas.microsoft.com/office/drawing/2014/main" id="{9352213F-A228-48FB-A3EF-4259FE7877BD}"/>
              </a:ext>
            </a:extLst>
          </xdr:cNvPr>
          <xdr:cNvCxnSpPr/>
        </xdr:nvCxnSpPr>
        <xdr:spPr>
          <a:xfrm flipH="1">
            <a:off x="723900" y="9885044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0" name="Straight Connector 3099">
            <a:extLst>
              <a:ext uri="{FF2B5EF4-FFF2-40B4-BE49-F238E27FC236}">
                <a16:creationId xmlns:a16="http://schemas.microsoft.com/office/drawing/2014/main" id="{12723928-4D37-45A0-8EE6-2A250A1C0410}"/>
              </a:ext>
            </a:extLst>
          </xdr:cNvPr>
          <xdr:cNvCxnSpPr/>
        </xdr:nvCxnSpPr>
        <xdr:spPr>
          <a:xfrm flipH="1">
            <a:off x="762000" y="9881234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1" name="Straight Connector 3100">
            <a:extLst>
              <a:ext uri="{FF2B5EF4-FFF2-40B4-BE49-F238E27FC236}">
                <a16:creationId xmlns:a16="http://schemas.microsoft.com/office/drawing/2014/main" id="{054C32AD-3E4C-49FF-BF21-78FF2B19F280}"/>
              </a:ext>
            </a:extLst>
          </xdr:cNvPr>
          <xdr:cNvCxnSpPr/>
        </xdr:nvCxnSpPr>
        <xdr:spPr>
          <a:xfrm flipH="1">
            <a:off x="723900" y="9996011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2" name="Straight Connector 3101">
            <a:extLst>
              <a:ext uri="{FF2B5EF4-FFF2-40B4-BE49-F238E27FC236}">
                <a16:creationId xmlns:a16="http://schemas.microsoft.com/office/drawing/2014/main" id="{E8A06D33-AB4E-4375-BF21-454C54D27C4F}"/>
              </a:ext>
            </a:extLst>
          </xdr:cNvPr>
          <xdr:cNvCxnSpPr/>
        </xdr:nvCxnSpPr>
        <xdr:spPr>
          <a:xfrm flipH="1">
            <a:off x="762000" y="9992201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3" name="Straight Connector 3102">
            <a:extLst>
              <a:ext uri="{FF2B5EF4-FFF2-40B4-BE49-F238E27FC236}">
                <a16:creationId xmlns:a16="http://schemas.microsoft.com/office/drawing/2014/main" id="{D4AB4DEB-9671-4B0C-870F-9040E6E70059}"/>
              </a:ext>
            </a:extLst>
          </xdr:cNvPr>
          <xdr:cNvCxnSpPr/>
        </xdr:nvCxnSpPr>
        <xdr:spPr>
          <a:xfrm flipH="1">
            <a:off x="723900" y="10044112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4" name="Straight Connector 3103">
            <a:extLst>
              <a:ext uri="{FF2B5EF4-FFF2-40B4-BE49-F238E27FC236}">
                <a16:creationId xmlns:a16="http://schemas.microsoft.com/office/drawing/2014/main" id="{9C4B17DC-86BA-4CC4-84FD-2482CE798E6C}"/>
              </a:ext>
            </a:extLst>
          </xdr:cNvPr>
          <xdr:cNvCxnSpPr/>
        </xdr:nvCxnSpPr>
        <xdr:spPr>
          <a:xfrm flipH="1">
            <a:off x="762000" y="10040302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5" name="Straight Connector 3104">
            <a:extLst>
              <a:ext uri="{FF2B5EF4-FFF2-40B4-BE49-F238E27FC236}">
                <a16:creationId xmlns:a16="http://schemas.microsoft.com/office/drawing/2014/main" id="{97A46BA7-54CB-4F22-9948-0ACDFF861521}"/>
              </a:ext>
            </a:extLst>
          </xdr:cNvPr>
          <xdr:cNvCxnSpPr/>
        </xdr:nvCxnSpPr>
        <xdr:spPr>
          <a:xfrm flipH="1">
            <a:off x="728663" y="10090785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6" name="Straight Connector 3105">
            <a:extLst>
              <a:ext uri="{FF2B5EF4-FFF2-40B4-BE49-F238E27FC236}">
                <a16:creationId xmlns:a16="http://schemas.microsoft.com/office/drawing/2014/main" id="{85E698E9-D266-48AB-9B12-26FAF21E492B}"/>
              </a:ext>
            </a:extLst>
          </xdr:cNvPr>
          <xdr:cNvCxnSpPr/>
        </xdr:nvCxnSpPr>
        <xdr:spPr>
          <a:xfrm flipH="1">
            <a:off x="766763" y="10086975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7" name="Straight Connector 3106">
            <a:extLst>
              <a:ext uri="{FF2B5EF4-FFF2-40B4-BE49-F238E27FC236}">
                <a16:creationId xmlns:a16="http://schemas.microsoft.com/office/drawing/2014/main" id="{0344D675-2CDC-45CF-9AD8-791BBA5A13E5}"/>
              </a:ext>
            </a:extLst>
          </xdr:cNvPr>
          <xdr:cNvCxnSpPr/>
        </xdr:nvCxnSpPr>
        <xdr:spPr>
          <a:xfrm flipH="1">
            <a:off x="395288" y="102927159"/>
            <a:ext cx="7143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8" name="Straight Connector 3107">
            <a:extLst>
              <a:ext uri="{FF2B5EF4-FFF2-40B4-BE49-F238E27FC236}">
                <a16:creationId xmlns:a16="http://schemas.microsoft.com/office/drawing/2014/main" id="{4CD0ABDB-ADB1-4A18-A5DE-7BFF222FF890}"/>
              </a:ext>
            </a:extLst>
          </xdr:cNvPr>
          <xdr:cNvCxnSpPr/>
        </xdr:nvCxnSpPr>
        <xdr:spPr>
          <a:xfrm flipH="1">
            <a:off x="766764" y="10288906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9" name="Straight Connector 3108">
            <a:extLst>
              <a:ext uri="{FF2B5EF4-FFF2-40B4-BE49-F238E27FC236}">
                <a16:creationId xmlns:a16="http://schemas.microsoft.com/office/drawing/2014/main" id="{E2EDE7D3-84C5-49DB-B2CB-31751CDC1DD4}"/>
              </a:ext>
            </a:extLst>
          </xdr:cNvPr>
          <xdr:cNvCxnSpPr/>
        </xdr:nvCxnSpPr>
        <xdr:spPr>
          <a:xfrm>
            <a:off x="485776" y="98140838"/>
            <a:ext cx="0" cy="4862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0" name="Straight Connector 3109">
            <a:extLst>
              <a:ext uri="{FF2B5EF4-FFF2-40B4-BE49-F238E27FC236}">
                <a16:creationId xmlns:a16="http://schemas.microsoft.com/office/drawing/2014/main" id="{87154639-C92E-4623-9380-8E2EFB7D9DE5}"/>
              </a:ext>
            </a:extLst>
          </xdr:cNvPr>
          <xdr:cNvCxnSpPr/>
        </xdr:nvCxnSpPr>
        <xdr:spPr>
          <a:xfrm flipH="1">
            <a:off x="442913" y="9816941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1" name="Straight Connector 3110">
            <a:extLst>
              <a:ext uri="{FF2B5EF4-FFF2-40B4-BE49-F238E27FC236}">
                <a16:creationId xmlns:a16="http://schemas.microsoft.com/office/drawing/2014/main" id="{4E0D1977-BDCA-4F8E-AF71-E7A66C18826F}"/>
              </a:ext>
            </a:extLst>
          </xdr:cNvPr>
          <xdr:cNvCxnSpPr/>
        </xdr:nvCxnSpPr>
        <xdr:spPr>
          <a:xfrm flipH="1">
            <a:off x="442914" y="10288429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2" name="Straight Connector 3111">
            <a:extLst>
              <a:ext uri="{FF2B5EF4-FFF2-40B4-BE49-F238E27FC236}">
                <a16:creationId xmlns:a16="http://schemas.microsoft.com/office/drawing/2014/main" id="{98DB8666-B738-4074-9128-9ED2D0FA76D9}"/>
              </a:ext>
            </a:extLst>
          </xdr:cNvPr>
          <xdr:cNvCxnSpPr/>
        </xdr:nvCxnSpPr>
        <xdr:spPr>
          <a:xfrm flipH="1">
            <a:off x="723900" y="99436238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3" name="Straight Connector 3112">
            <a:extLst>
              <a:ext uri="{FF2B5EF4-FFF2-40B4-BE49-F238E27FC236}">
                <a16:creationId xmlns:a16="http://schemas.microsoft.com/office/drawing/2014/main" id="{7788E4CD-E224-4C1B-BF7C-C4F280000054}"/>
              </a:ext>
            </a:extLst>
          </xdr:cNvPr>
          <xdr:cNvCxnSpPr/>
        </xdr:nvCxnSpPr>
        <xdr:spPr>
          <a:xfrm flipH="1">
            <a:off x="762000" y="99398139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4" name="Straight Connector 3113">
            <a:extLst>
              <a:ext uri="{FF2B5EF4-FFF2-40B4-BE49-F238E27FC236}">
                <a16:creationId xmlns:a16="http://schemas.microsoft.com/office/drawing/2014/main" id="{6407058F-D4EF-41C0-B45D-DE683AACEB21}"/>
              </a:ext>
            </a:extLst>
          </xdr:cNvPr>
          <xdr:cNvCxnSpPr/>
        </xdr:nvCxnSpPr>
        <xdr:spPr>
          <a:xfrm>
            <a:off x="4695825" y="98136075"/>
            <a:ext cx="0" cy="4872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5" name="Straight Connector 3114">
            <a:extLst>
              <a:ext uri="{FF2B5EF4-FFF2-40B4-BE49-F238E27FC236}">
                <a16:creationId xmlns:a16="http://schemas.microsoft.com/office/drawing/2014/main" id="{F4B9D759-2D62-421B-AD8D-20AB22193AC2}"/>
              </a:ext>
            </a:extLst>
          </xdr:cNvPr>
          <xdr:cNvCxnSpPr/>
        </xdr:nvCxnSpPr>
        <xdr:spPr>
          <a:xfrm>
            <a:off x="4414838" y="102927156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6" name="Straight Connector 3115">
            <a:extLst>
              <a:ext uri="{FF2B5EF4-FFF2-40B4-BE49-F238E27FC236}">
                <a16:creationId xmlns:a16="http://schemas.microsoft.com/office/drawing/2014/main" id="{9C0C0DFB-0E05-4F3C-913A-196464EF27F6}"/>
              </a:ext>
            </a:extLst>
          </xdr:cNvPr>
          <xdr:cNvCxnSpPr/>
        </xdr:nvCxnSpPr>
        <xdr:spPr>
          <a:xfrm>
            <a:off x="4410075" y="98212275"/>
            <a:ext cx="695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7" name="Straight Connector 3116">
            <a:extLst>
              <a:ext uri="{FF2B5EF4-FFF2-40B4-BE49-F238E27FC236}">
                <a16:creationId xmlns:a16="http://schemas.microsoft.com/office/drawing/2014/main" id="{5BA11CD8-1B98-4AB2-B731-36883DE4D78B}"/>
              </a:ext>
            </a:extLst>
          </xdr:cNvPr>
          <xdr:cNvCxnSpPr/>
        </xdr:nvCxnSpPr>
        <xdr:spPr>
          <a:xfrm flipH="1">
            <a:off x="4648200" y="98174176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8" name="Straight Connector 3117">
            <a:extLst>
              <a:ext uri="{FF2B5EF4-FFF2-40B4-BE49-F238E27FC236}">
                <a16:creationId xmlns:a16="http://schemas.microsoft.com/office/drawing/2014/main" id="{A088EB58-62E8-4406-853A-8153A6A4249B}"/>
              </a:ext>
            </a:extLst>
          </xdr:cNvPr>
          <xdr:cNvCxnSpPr/>
        </xdr:nvCxnSpPr>
        <xdr:spPr>
          <a:xfrm flipH="1">
            <a:off x="4648201" y="102884293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9" name="Straight Connector 3118">
            <a:extLst>
              <a:ext uri="{FF2B5EF4-FFF2-40B4-BE49-F238E27FC236}">
                <a16:creationId xmlns:a16="http://schemas.microsoft.com/office/drawing/2014/main" id="{14712C86-7E88-433B-8823-A615D999F4EA}"/>
              </a:ext>
            </a:extLst>
          </xdr:cNvPr>
          <xdr:cNvCxnSpPr/>
        </xdr:nvCxnSpPr>
        <xdr:spPr>
          <a:xfrm>
            <a:off x="3619500" y="99783900"/>
            <a:ext cx="1147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0" name="Straight Connector 3119">
            <a:extLst>
              <a:ext uri="{FF2B5EF4-FFF2-40B4-BE49-F238E27FC236}">
                <a16:creationId xmlns:a16="http://schemas.microsoft.com/office/drawing/2014/main" id="{3495C97E-4CB1-4264-A0C1-C0A56DC9CD11}"/>
              </a:ext>
            </a:extLst>
          </xdr:cNvPr>
          <xdr:cNvCxnSpPr/>
        </xdr:nvCxnSpPr>
        <xdr:spPr>
          <a:xfrm flipH="1">
            <a:off x="4652964" y="997410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1" name="Straight Connector 3120">
            <a:extLst>
              <a:ext uri="{FF2B5EF4-FFF2-40B4-BE49-F238E27FC236}">
                <a16:creationId xmlns:a16="http://schemas.microsoft.com/office/drawing/2014/main" id="{CC9640CB-B747-49A9-8198-57BEBA04F473}"/>
              </a:ext>
            </a:extLst>
          </xdr:cNvPr>
          <xdr:cNvCxnSpPr/>
        </xdr:nvCxnSpPr>
        <xdr:spPr>
          <a:xfrm>
            <a:off x="3238500" y="99574350"/>
            <a:ext cx="0" cy="34147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2" name="Straight Connector 3121">
            <a:extLst>
              <a:ext uri="{FF2B5EF4-FFF2-40B4-BE49-F238E27FC236}">
                <a16:creationId xmlns:a16="http://schemas.microsoft.com/office/drawing/2014/main" id="{8C32B1D3-DF9B-4636-8FA6-CB419C8F61B8}"/>
              </a:ext>
            </a:extLst>
          </xdr:cNvPr>
          <xdr:cNvCxnSpPr/>
        </xdr:nvCxnSpPr>
        <xdr:spPr>
          <a:xfrm>
            <a:off x="1138238" y="99950588"/>
            <a:ext cx="1614487" cy="10048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3" name="Straight Connector 3122">
            <a:extLst>
              <a:ext uri="{FF2B5EF4-FFF2-40B4-BE49-F238E27FC236}">
                <a16:creationId xmlns:a16="http://schemas.microsoft.com/office/drawing/2014/main" id="{C9185ACF-0289-42F9-B0DC-F2B1F95E2222}"/>
              </a:ext>
            </a:extLst>
          </xdr:cNvPr>
          <xdr:cNvCxnSpPr/>
        </xdr:nvCxnSpPr>
        <xdr:spPr>
          <a:xfrm flipH="1">
            <a:off x="3186112" y="9959340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4" name="Straight Connector 3123">
            <a:extLst>
              <a:ext uri="{FF2B5EF4-FFF2-40B4-BE49-F238E27FC236}">
                <a16:creationId xmlns:a16="http://schemas.microsoft.com/office/drawing/2014/main" id="{2FB29378-5F15-47B6-AF4F-2DB19EEECC3A}"/>
              </a:ext>
            </a:extLst>
          </xdr:cNvPr>
          <xdr:cNvCxnSpPr/>
        </xdr:nvCxnSpPr>
        <xdr:spPr>
          <a:xfrm flipH="1">
            <a:off x="2614613" y="99350513"/>
            <a:ext cx="2095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5" name="Straight Connector 3124">
            <a:extLst>
              <a:ext uri="{FF2B5EF4-FFF2-40B4-BE49-F238E27FC236}">
                <a16:creationId xmlns:a16="http://schemas.microsoft.com/office/drawing/2014/main" id="{58954BA6-E95B-454F-B80B-97BE7828B41B}"/>
              </a:ext>
            </a:extLst>
          </xdr:cNvPr>
          <xdr:cNvCxnSpPr/>
        </xdr:nvCxnSpPr>
        <xdr:spPr>
          <a:xfrm>
            <a:off x="2686059" y="99255259"/>
            <a:ext cx="0" cy="36671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6" name="Straight Connector 3125">
            <a:extLst>
              <a:ext uri="{FF2B5EF4-FFF2-40B4-BE49-F238E27FC236}">
                <a16:creationId xmlns:a16="http://schemas.microsoft.com/office/drawing/2014/main" id="{A83808C0-865B-4A3A-B553-BA5F1E3C3491}"/>
              </a:ext>
            </a:extLst>
          </xdr:cNvPr>
          <xdr:cNvCxnSpPr/>
        </xdr:nvCxnSpPr>
        <xdr:spPr>
          <a:xfrm flipH="1">
            <a:off x="2633672" y="99307647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7" name="Straight Connector 3126">
            <a:extLst>
              <a:ext uri="{FF2B5EF4-FFF2-40B4-BE49-F238E27FC236}">
                <a16:creationId xmlns:a16="http://schemas.microsoft.com/office/drawing/2014/main" id="{11C01859-5378-43F1-AF8F-F6A31F8A5E6B}"/>
              </a:ext>
            </a:extLst>
          </xdr:cNvPr>
          <xdr:cNvCxnSpPr/>
        </xdr:nvCxnSpPr>
        <xdr:spPr>
          <a:xfrm flipH="1">
            <a:off x="2700338" y="99307650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8" name="Straight Connector 3127">
            <a:extLst>
              <a:ext uri="{FF2B5EF4-FFF2-40B4-BE49-F238E27FC236}">
                <a16:creationId xmlns:a16="http://schemas.microsoft.com/office/drawing/2014/main" id="{9EBADEAD-9D19-4B21-9F08-11070B190674}"/>
              </a:ext>
            </a:extLst>
          </xdr:cNvPr>
          <xdr:cNvCxnSpPr/>
        </xdr:nvCxnSpPr>
        <xdr:spPr>
          <a:xfrm flipV="1">
            <a:off x="1857375" y="99783902"/>
            <a:ext cx="0" cy="32194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9" name="Straight Connector 3128">
            <a:extLst>
              <a:ext uri="{FF2B5EF4-FFF2-40B4-BE49-F238E27FC236}">
                <a16:creationId xmlns:a16="http://schemas.microsoft.com/office/drawing/2014/main" id="{86DD65A6-91E0-4C26-A09A-34EEFE766E30}"/>
              </a:ext>
            </a:extLst>
          </xdr:cNvPr>
          <xdr:cNvCxnSpPr/>
        </xdr:nvCxnSpPr>
        <xdr:spPr>
          <a:xfrm flipV="1">
            <a:off x="3648075" y="99774380"/>
            <a:ext cx="0" cy="3148008"/>
          </a:xfrm>
          <a:prstGeom prst="line">
            <a:avLst/>
          </a:prstGeom>
          <a:ln>
            <a:headEnd type="triangl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30" name="Arc 3129">
            <a:extLst>
              <a:ext uri="{FF2B5EF4-FFF2-40B4-BE49-F238E27FC236}">
                <a16:creationId xmlns:a16="http://schemas.microsoft.com/office/drawing/2014/main" id="{005EDB71-E8F8-4F37-BA58-3FC8A9DBA768}"/>
              </a:ext>
            </a:extLst>
          </xdr:cNvPr>
          <xdr:cNvSpPr/>
        </xdr:nvSpPr>
        <xdr:spPr>
          <a:xfrm rot="16200000">
            <a:off x="1857375" y="98907600"/>
            <a:ext cx="1790700" cy="1790700"/>
          </a:xfrm>
          <a:prstGeom prst="arc">
            <a:avLst>
              <a:gd name="adj1" fmla="val 16200000"/>
              <a:gd name="adj2" fmla="val 5400000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131" name="Straight Connector 3130">
            <a:extLst>
              <a:ext uri="{FF2B5EF4-FFF2-40B4-BE49-F238E27FC236}">
                <a16:creationId xmlns:a16="http://schemas.microsoft.com/office/drawing/2014/main" id="{6BC4306B-E5B1-45CC-8218-682CD1698599}"/>
              </a:ext>
            </a:extLst>
          </xdr:cNvPr>
          <xdr:cNvCxnSpPr/>
        </xdr:nvCxnSpPr>
        <xdr:spPr>
          <a:xfrm>
            <a:off x="1057275" y="103498650"/>
            <a:ext cx="3390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2" name="Straight Connector 3131">
            <a:extLst>
              <a:ext uri="{FF2B5EF4-FFF2-40B4-BE49-F238E27FC236}">
                <a16:creationId xmlns:a16="http://schemas.microsoft.com/office/drawing/2014/main" id="{E31E466D-A76D-4320-948D-5F1350C18B06}"/>
              </a:ext>
            </a:extLst>
          </xdr:cNvPr>
          <xdr:cNvCxnSpPr/>
        </xdr:nvCxnSpPr>
        <xdr:spPr>
          <a:xfrm flipH="1">
            <a:off x="1814513" y="10345578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3" name="Straight Connector 3132">
            <a:extLst>
              <a:ext uri="{FF2B5EF4-FFF2-40B4-BE49-F238E27FC236}">
                <a16:creationId xmlns:a16="http://schemas.microsoft.com/office/drawing/2014/main" id="{F040CD66-3964-40CC-AB84-4174BFE8757F}"/>
              </a:ext>
            </a:extLst>
          </xdr:cNvPr>
          <xdr:cNvCxnSpPr/>
        </xdr:nvCxnSpPr>
        <xdr:spPr>
          <a:xfrm flipH="1">
            <a:off x="4329114" y="10317479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4" name="Straight Connector 3133">
            <a:extLst>
              <a:ext uri="{FF2B5EF4-FFF2-40B4-BE49-F238E27FC236}">
                <a16:creationId xmlns:a16="http://schemas.microsoft.com/office/drawing/2014/main" id="{CE4DD8D6-374C-499B-95CD-D38661849DFC}"/>
              </a:ext>
            </a:extLst>
          </xdr:cNvPr>
          <xdr:cNvCxnSpPr/>
        </xdr:nvCxnSpPr>
        <xdr:spPr>
          <a:xfrm>
            <a:off x="2443181" y="97855088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5" name="Straight Connector 3134">
            <a:extLst>
              <a:ext uri="{FF2B5EF4-FFF2-40B4-BE49-F238E27FC236}">
                <a16:creationId xmlns:a16="http://schemas.microsoft.com/office/drawing/2014/main" id="{8AA44CF0-CEC2-4848-B354-05F2D30602D8}"/>
              </a:ext>
            </a:extLst>
          </xdr:cNvPr>
          <xdr:cNvCxnSpPr/>
        </xdr:nvCxnSpPr>
        <xdr:spPr>
          <a:xfrm flipH="1">
            <a:off x="2400320" y="97878900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6" name="Straight Connector 3135">
            <a:extLst>
              <a:ext uri="{FF2B5EF4-FFF2-40B4-BE49-F238E27FC236}">
                <a16:creationId xmlns:a16="http://schemas.microsoft.com/office/drawing/2014/main" id="{B7FA48DF-B729-460B-896F-14201164EA58}"/>
              </a:ext>
            </a:extLst>
          </xdr:cNvPr>
          <xdr:cNvCxnSpPr/>
        </xdr:nvCxnSpPr>
        <xdr:spPr>
          <a:xfrm>
            <a:off x="3076586" y="97864612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7" name="Straight Connector 3136">
            <a:extLst>
              <a:ext uri="{FF2B5EF4-FFF2-40B4-BE49-F238E27FC236}">
                <a16:creationId xmlns:a16="http://schemas.microsoft.com/office/drawing/2014/main" id="{350ECCC6-23E3-49AB-8390-659ED71B25CB}"/>
              </a:ext>
            </a:extLst>
          </xdr:cNvPr>
          <xdr:cNvCxnSpPr/>
        </xdr:nvCxnSpPr>
        <xdr:spPr>
          <a:xfrm flipH="1">
            <a:off x="3028962" y="97888424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8" name="Straight Connector 3137">
            <a:extLst>
              <a:ext uri="{FF2B5EF4-FFF2-40B4-BE49-F238E27FC236}">
                <a16:creationId xmlns:a16="http://schemas.microsoft.com/office/drawing/2014/main" id="{E9BFF63E-528D-4840-B64B-5A38DAC831EB}"/>
              </a:ext>
            </a:extLst>
          </xdr:cNvPr>
          <xdr:cNvCxnSpPr/>
        </xdr:nvCxnSpPr>
        <xdr:spPr>
          <a:xfrm>
            <a:off x="1066799" y="104070149"/>
            <a:ext cx="3386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9" name="Straight Connector 3138">
            <a:extLst>
              <a:ext uri="{FF2B5EF4-FFF2-40B4-BE49-F238E27FC236}">
                <a16:creationId xmlns:a16="http://schemas.microsoft.com/office/drawing/2014/main" id="{A77D829E-01CB-47A6-A994-3CD753C2A0D6}"/>
              </a:ext>
            </a:extLst>
          </xdr:cNvPr>
          <xdr:cNvCxnSpPr/>
        </xdr:nvCxnSpPr>
        <xdr:spPr>
          <a:xfrm flipH="1">
            <a:off x="1090613" y="1040320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0" name="Straight Connector 3139">
            <a:extLst>
              <a:ext uri="{FF2B5EF4-FFF2-40B4-BE49-F238E27FC236}">
                <a16:creationId xmlns:a16="http://schemas.microsoft.com/office/drawing/2014/main" id="{3C3133FB-4703-4FEB-B796-4EBAEA778EEE}"/>
              </a:ext>
            </a:extLst>
          </xdr:cNvPr>
          <xdr:cNvCxnSpPr/>
        </xdr:nvCxnSpPr>
        <xdr:spPr>
          <a:xfrm flipH="1">
            <a:off x="4329113" y="104032048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1" name="Straight Connector 3140">
            <a:extLst>
              <a:ext uri="{FF2B5EF4-FFF2-40B4-BE49-F238E27FC236}">
                <a16:creationId xmlns:a16="http://schemas.microsoft.com/office/drawing/2014/main" id="{E1641924-92F8-474B-AE02-BF494CAAC313}"/>
              </a:ext>
            </a:extLst>
          </xdr:cNvPr>
          <xdr:cNvCxnSpPr/>
        </xdr:nvCxnSpPr>
        <xdr:spPr>
          <a:xfrm flipH="1">
            <a:off x="1090612" y="10346054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2" name="Straight Connector 3141">
            <a:extLst>
              <a:ext uri="{FF2B5EF4-FFF2-40B4-BE49-F238E27FC236}">
                <a16:creationId xmlns:a16="http://schemas.microsoft.com/office/drawing/2014/main" id="{BAAEBCE1-75E3-4129-B74F-6784E1EAD354}"/>
              </a:ext>
            </a:extLst>
          </xdr:cNvPr>
          <xdr:cNvCxnSpPr/>
        </xdr:nvCxnSpPr>
        <xdr:spPr>
          <a:xfrm flipH="1">
            <a:off x="4329112" y="10346054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3" name="Straight Connector 3142">
            <a:extLst>
              <a:ext uri="{FF2B5EF4-FFF2-40B4-BE49-F238E27FC236}">
                <a16:creationId xmlns:a16="http://schemas.microsoft.com/office/drawing/2014/main" id="{F1850076-2367-4BB7-B436-8A0C1AEF9850}"/>
              </a:ext>
            </a:extLst>
          </xdr:cNvPr>
          <xdr:cNvCxnSpPr/>
        </xdr:nvCxnSpPr>
        <xdr:spPr>
          <a:xfrm flipH="1">
            <a:off x="2709862" y="103460551"/>
            <a:ext cx="80963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4" name="Straight Connector 3143">
            <a:extLst>
              <a:ext uri="{FF2B5EF4-FFF2-40B4-BE49-F238E27FC236}">
                <a16:creationId xmlns:a16="http://schemas.microsoft.com/office/drawing/2014/main" id="{F9B82252-2AAB-45E3-B493-0F9F6D7BB67D}"/>
              </a:ext>
            </a:extLst>
          </xdr:cNvPr>
          <xdr:cNvCxnSpPr/>
        </xdr:nvCxnSpPr>
        <xdr:spPr>
          <a:xfrm>
            <a:off x="2762250" y="10001250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5" name="Straight Connector 3144">
            <a:extLst>
              <a:ext uri="{FF2B5EF4-FFF2-40B4-BE49-F238E27FC236}">
                <a16:creationId xmlns:a16="http://schemas.microsoft.com/office/drawing/2014/main" id="{E475159F-F682-4E87-9F35-68844FCF1923}"/>
              </a:ext>
            </a:extLst>
          </xdr:cNvPr>
          <xdr:cNvCxnSpPr/>
        </xdr:nvCxnSpPr>
        <xdr:spPr>
          <a:xfrm>
            <a:off x="2938462" y="99641025"/>
            <a:ext cx="376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46" name="Oval 3145">
            <a:extLst>
              <a:ext uri="{FF2B5EF4-FFF2-40B4-BE49-F238E27FC236}">
                <a16:creationId xmlns:a16="http://schemas.microsoft.com/office/drawing/2014/main" id="{16CD5519-C8F6-4B80-BFA6-A1752BCACCFD}"/>
              </a:ext>
            </a:extLst>
          </xdr:cNvPr>
          <xdr:cNvSpPr/>
        </xdr:nvSpPr>
        <xdr:spPr>
          <a:xfrm>
            <a:off x="2729866" y="9975627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147" name="Straight Connector 3146">
            <a:extLst>
              <a:ext uri="{FF2B5EF4-FFF2-40B4-BE49-F238E27FC236}">
                <a16:creationId xmlns:a16="http://schemas.microsoft.com/office/drawing/2014/main" id="{26DA953E-AFDA-4573-9360-1B872C8AB248}"/>
              </a:ext>
            </a:extLst>
          </xdr:cNvPr>
          <xdr:cNvCxnSpPr/>
        </xdr:nvCxnSpPr>
        <xdr:spPr>
          <a:xfrm>
            <a:off x="2195513" y="99783900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8" name="Straight Connector 3147">
            <a:extLst>
              <a:ext uri="{FF2B5EF4-FFF2-40B4-BE49-F238E27FC236}">
                <a16:creationId xmlns:a16="http://schemas.microsoft.com/office/drawing/2014/main" id="{997A6A61-FB84-473F-8F93-B371FABFBB3D}"/>
              </a:ext>
            </a:extLst>
          </xdr:cNvPr>
          <xdr:cNvCxnSpPr/>
        </xdr:nvCxnSpPr>
        <xdr:spPr>
          <a:xfrm flipV="1">
            <a:off x="2266950" y="99583875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9" name="Straight Connector 3148">
            <a:extLst>
              <a:ext uri="{FF2B5EF4-FFF2-40B4-BE49-F238E27FC236}">
                <a16:creationId xmlns:a16="http://schemas.microsoft.com/office/drawing/2014/main" id="{1F08E693-14CC-4859-8A52-2B82E1228D7E}"/>
              </a:ext>
            </a:extLst>
          </xdr:cNvPr>
          <xdr:cNvCxnSpPr/>
        </xdr:nvCxnSpPr>
        <xdr:spPr>
          <a:xfrm flipH="1">
            <a:off x="2190750" y="99641025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0" name="Straight Connector 3149">
            <a:extLst>
              <a:ext uri="{FF2B5EF4-FFF2-40B4-BE49-F238E27FC236}">
                <a16:creationId xmlns:a16="http://schemas.microsoft.com/office/drawing/2014/main" id="{A4E57A42-DADF-4B6E-B45D-113EFE4E09D0}"/>
              </a:ext>
            </a:extLst>
          </xdr:cNvPr>
          <xdr:cNvCxnSpPr/>
        </xdr:nvCxnSpPr>
        <xdr:spPr>
          <a:xfrm flipH="1">
            <a:off x="2224088" y="99607688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1" name="Straight Connector 3150">
            <a:extLst>
              <a:ext uri="{FF2B5EF4-FFF2-40B4-BE49-F238E27FC236}">
                <a16:creationId xmlns:a16="http://schemas.microsoft.com/office/drawing/2014/main" id="{83AF495B-EC2A-415D-9262-DC49A7CF1A1F}"/>
              </a:ext>
            </a:extLst>
          </xdr:cNvPr>
          <xdr:cNvCxnSpPr/>
        </xdr:nvCxnSpPr>
        <xdr:spPr>
          <a:xfrm flipH="1">
            <a:off x="2228850" y="99745800"/>
            <a:ext cx="8572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2" name="Straight Connector 3151">
            <a:extLst>
              <a:ext uri="{FF2B5EF4-FFF2-40B4-BE49-F238E27FC236}">
                <a16:creationId xmlns:a16="http://schemas.microsoft.com/office/drawing/2014/main" id="{0B79EEA1-BE33-4A93-8F36-2A50359983B7}"/>
              </a:ext>
            </a:extLst>
          </xdr:cNvPr>
          <xdr:cNvCxnSpPr/>
        </xdr:nvCxnSpPr>
        <xdr:spPr>
          <a:xfrm flipH="1">
            <a:off x="3190874" y="9996964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3" name="Straight Connector 3152">
            <a:extLst>
              <a:ext uri="{FF2B5EF4-FFF2-40B4-BE49-F238E27FC236}">
                <a16:creationId xmlns:a16="http://schemas.microsoft.com/office/drawing/2014/main" id="{E1A95A1C-D663-444B-87F9-000E9C858820}"/>
              </a:ext>
            </a:extLst>
          </xdr:cNvPr>
          <xdr:cNvCxnSpPr/>
        </xdr:nvCxnSpPr>
        <xdr:spPr>
          <a:xfrm>
            <a:off x="2767012" y="10035540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4" name="Straight Connector 3153">
            <a:extLst>
              <a:ext uri="{FF2B5EF4-FFF2-40B4-BE49-F238E27FC236}">
                <a16:creationId xmlns:a16="http://schemas.microsoft.com/office/drawing/2014/main" id="{5E68DE85-1EB4-4021-97DD-88A88C97D039}"/>
              </a:ext>
            </a:extLst>
          </xdr:cNvPr>
          <xdr:cNvCxnSpPr/>
        </xdr:nvCxnSpPr>
        <xdr:spPr>
          <a:xfrm flipH="1">
            <a:off x="3195636" y="10031253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5" name="Straight Connector 3154">
            <a:extLst>
              <a:ext uri="{FF2B5EF4-FFF2-40B4-BE49-F238E27FC236}">
                <a16:creationId xmlns:a16="http://schemas.microsoft.com/office/drawing/2014/main" id="{D5C8A639-BBAC-4232-AEDB-A2C182C88D18}"/>
              </a:ext>
            </a:extLst>
          </xdr:cNvPr>
          <xdr:cNvCxnSpPr/>
        </xdr:nvCxnSpPr>
        <xdr:spPr>
          <a:xfrm>
            <a:off x="2762249" y="100645911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6" name="Straight Connector 3155">
            <a:extLst>
              <a:ext uri="{FF2B5EF4-FFF2-40B4-BE49-F238E27FC236}">
                <a16:creationId xmlns:a16="http://schemas.microsoft.com/office/drawing/2014/main" id="{5AA3B251-E3B9-4B62-B56A-511E4F2C4C8D}"/>
              </a:ext>
            </a:extLst>
          </xdr:cNvPr>
          <xdr:cNvCxnSpPr/>
        </xdr:nvCxnSpPr>
        <xdr:spPr>
          <a:xfrm flipH="1">
            <a:off x="3190873" y="100603049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7" name="Straight Connector 3156">
            <a:extLst>
              <a:ext uri="{FF2B5EF4-FFF2-40B4-BE49-F238E27FC236}">
                <a16:creationId xmlns:a16="http://schemas.microsoft.com/office/drawing/2014/main" id="{B6847397-6491-4CBA-BB7B-EBF85869D3B1}"/>
              </a:ext>
            </a:extLst>
          </xdr:cNvPr>
          <xdr:cNvCxnSpPr/>
        </xdr:nvCxnSpPr>
        <xdr:spPr>
          <a:xfrm>
            <a:off x="2762248" y="10095071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8" name="Straight Connector 3157">
            <a:extLst>
              <a:ext uri="{FF2B5EF4-FFF2-40B4-BE49-F238E27FC236}">
                <a16:creationId xmlns:a16="http://schemas.microsoft.com/office/drawing/2014/main" id="{D5339C55-0D9C-46BB-8A82-703FE42B6897}"/>
              </a:ext>
            </a:extLst>
          </xdr:cNvPr>
          <xdr:cNvCxnSpPr/>
        </xdr:nvCxnSpPr>
        <xdr:spPr>
          <a:xfrm flipH="1">
            <a:off x="3190872" y="10090785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9" name="Straight Connector 3158">
            <a:extLst>
              <a:ext uri="{FF2B5EF4-FFF2-40B4-BE49-F238E27FC236}">
                <a16:creationId xmlns:a16="http://schemas.microsoft.com/office/drawing/2014/main" id="{D02384E0-3859-411D-A34A-32DB1FDC4BF0}"/>
              </a:ext>
            </a:extLst>
          </xdr:cNvPr>
          <xdr:cNvCxnSpPr/>
        </xdr:nvCxnSpPr>
        <xdr:spPr>
          <a:xfrm>
            <a:off x="2767010" y="101169789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0" name="Straight Connector 3159">
            <a:extLst>
              <a:ext uri="{FF2B5EF4-FFF2-40B4-BE49-F238E27FC236}">
                <a16:creationId xmlns:a16="http://schemas.microsoft.com/office/drawing/2014/main" id="{243E8DD4-6EA4-4DDA-A56A-055D47E712EA}"/>
              </a:ext>
            </a:extLst>
          </xdr:cNvPr>
          <xdr:cNvCxnSpPr/>
        </xdr:nvCxnSpPr>
        <xdr:spPr>
          <a:xfrm flipH="1">
            <a:off x="3195634" y="101126927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1" name="Straight Connector 3160">
            <a:extLst>
              <a:ext uri="{FF2B5EF4-FFF2-40B4-BE49-F238E27FC236}">
                <a16:creationId xmlns:a16="http://schemas.microsoft.com/office/drawing/2014/main" id="{301E2AE8-A8C3-4781-BCB4-1273808BBD28}"/>
              </a:ext>
            </a:extLst>
          </xdr:cNvPr>
          <xdr:cNvCxnSpPr/>
        </xdr:nvCxnSpPr>
        <xdr:spPr>
          <a:xfrm>
            <a:off x="2762248" y="10076974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2" name="Straight Connector 3161">
            <a:extLst>
              <a:ext uri="{FF2B5EF4-FFF2-40B4-BE49-F238E27FC236}">
                <a16:creationId xmlns:a16="http://schemas.microsoft.com/office/drawing/2014/main" id="{89EEEDAD-5145-49AD-84AB-4D0021632CB0}"/>
              </a:ext>
            </a:extLst>
          </xdr:cNvPr>
          <xdr:cNvCxnSpPr/>
        </xdr:nvCxnSpPr>
        <xdr:spPr>
          <a:xfrm flipH="1">
            <a:off x="3190872" y="10072688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3" name="Straight Connector 3162">
            <a:extLst>
              <a:ext uri="{FF2B5EF4-FFF2-40B4-BE49-F238E27FC236}">
                <a16:creationId xmlns:a16="http://schemas.microsoft.com/office/drawing/2014/main" id="{E8EF0975-548B-4FB1-AAB4-A13E24F823E1}"/>
              </a:ext>
            </a:extLst>
          </xdr:cNvPr>
          <xdr:cNvCxnSpPr/>
        </xdr:nvCxnSpPr>
        <xdr:spPr>
          <a:xfrm>
            <a:off x="2762248" y="100503045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4" name="Straight Connector 3163">
            <a:extLst>
              <a:ext uri="{FF2B5EF4-FFF2-40B4-BE49-F238E27FC236}">
                <a16:creationId xmlns:a16="http://schemas.microsoft.com/office/drawing/2014/main" id="{9921445E-9C4E-4B1F-93A5-8B7BCB95EF30}"/>
              </a:ext>
            </a:extLst>
          </xdr:cNvPr>
          <xdr:cNvCxnSpPr/>
        </xdr:nvCxnSpPr>
        <xdr:spPr>
          <a:xfrm flipH="1">
            <a:off x="3190872" y="100455413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65" name="Oval 3164">
            <a:extLst>
              <a:ext uri="{FF2B5EF4-FFF2-40B4-BE49-F238E27FC236}">
                <a16:creationId xmlns:a16="http://schemas.microsoft.com/office/drawing/2014/main" id="{1A9CD24E-A578-480B-B593-BF6F2F2D67DA}"/>
              </a:ext>
            </a:extLst>
          </xdr:cNvPr>
          <xdr:cNvSpPr/>
        </xdr:nvSpPr>
        <xdr:spPr>
          <a:xfrm>
            <a:off x="1833563" y="99755325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166" name="Oval 3165">
            <a:extLst>
              <a:ext uri="{FF2B5EF4-FFF2-40B4-BE49-F238E27FC236}">
                <a16:creationId xmlns:a16="http://schemas.microsoft.com/office/drawing/2014/main" id="{48D801AD-6A5E-42B5-B65A-16C0FCF89352}"/>
              </a:ext>
            </a:extLst>
          </xdr:cNvPr>
          <xdr:cNvSpPr/>
        </xdr:nvSpPr>
        <xdr:spPr>
          <a:xfrm>
            <a:off x="3624263" y="99760088"/>
            <a:ext cx="45720" cy="45720"/>
          </a:xfrm>
          <a:prstGeom prst="ellipse">
            <a:avLst/>
          </a:prstGeom>
          <a:solidFill>
            <a:srgbClr val="FF0000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167" name="Straight Connector 3166">
            <a:extLst>
              <a:ext uri="{FF2B5EF4-FFF2-40B4-BE49-F238E27FC236}">
                <a16:creationId xmlns:a16="http://schemas.microsoft.com/office/drawing/2014/main" id="{6E554D52-635B-4647-87DA-FC086C4B031C}"/>
              </a:ext>
            </a:extLst>
          </xdr:cNvPr>
          <xdr:cNvCxnSpPr/>
        </xdr:nvCxnSpPr>
        <xdr:spPr>
          <a:xfrm>
            <a:off x="4781550" y="99641025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8" name="Straight Connector 3167">
            <a:extLst>
              <a:ext uri="{FF2B5EF4-FFF2-40B4-BE49-F238E27FC236}">
                <a16:creationId xmlns:a16="http://schemas.microsoft.com/office/drawing/2014/main" id="{38388048-05F5-4B56-B6B7-A0D58BC2B9C8}"/>
              </a:ext>
            </a:extLst>
          </xdr:cNvPr>
          <xdr:cNvCxnSpPr/>
        </xdr:nvCxnSpPr>
        <xdr:spPr>
          <a:xfrm>
            <a:off x="5019675" y="98136075"/>
            <a:ext cx="0" cy="4872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9" name="Straight Connector 3168">
            <a:extLst>
              <a:ext uri="{FF2B5EF4-FFF2-40B4-BE49-F238E27FC236}">
                <a16:creationId xmlns:a16="http://schemas.microsoft.com/office/drawing/2014/main" id="{F3DA8E18-8EFD-475D-A090-172102BA3E8F}"/>
              </a:ext>
            </a:extLst>
          </xdr:cNvPr>
          <xdr:cNvCxnSpPr/>
        </xdr:nvCxnSpPr>
        <xdr:spPr>
          <a:xfrm flipH="1">
            <a:off x="4981576" y="102879531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0" name="Straight Connector 3169">
            <a:extLst>
              <a:ext uri="{FF2B5EF4-FFF2-40B4-BE49-F238E27FC236}">
                <a16:creationId xmlns:a16="http://schemas.microsoft.com/office/drawing/2014/main" id="{C2573826-55B7-42F0-BAAC-2E07E6084156}"/>
              </a:ext>
            </a:extLst>
          </xdr:cNvPr>
          <xdr:cNvCxnSpPr/>
        </xdr:nvCxnSpPr>
        <xdr:spPr>
          <a:xfrm flipH="1">
            <a:off x="4976814" y="9959816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1" name="Straight Connector 3170">
            <a:extLst>
              <a:ext uri="{FF2B5EF4-FFF2-40B4-BE49-F238E27FC236}">
                <a16:creationId xmlns:a16="http://schemas.microsoft.com/office/drawing/2014/main" id="{B05ADC89-6C71-47A0-9298-C098565DADC6}"/>
              </a:ext>
            </a:extLst>
          </xdr:cNvPr>
          <xdr:cNvCxnSpPr/>
        </xdr:nvCxnSpPr>
        <xdr:spPr>
          <a:xfrm>
            <a:off x="3509962" y="99641025"/>
            <a:ext cx="7953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2" name="Straight Connector 3171">
            <a:extLst>
              <a:ext uri="{FF2B5EF4-FFF2-40B4-BE49-F238E27FC236}">
                <a16:creationId xmlns:a16="http://schemas.microsoft.com/office/drawing/2014/main" id="{B8A52F07-025E-4F8B-ABAC-653309EE2BE1}"/>
              </a:ext>
            </a:extLst>
          </xdr:cNvPr>
          <xdr:cNvCxnSpPr/>
        </xdr:nvCxnSpPr>
        <xdr:spPr>
          <a:xfrm>
            <a:off x="4419600" y="99641025"/>
            <a:ext cx="219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3" name="Straight Connector 3172">
            <a:extLst>
              <a:ext uri="{FF2B5EF4-FFF2-40B4-BE49-F238E27FC236}">
                <a16:creationId xmlns:a16="http://schemas.microsoft.com/office/drawing/2014/main" id="{48D3228E-E312-429A-B04E-B75E85868B4E}"/>
              </a:ext>
            </a:extLst>
          </xdr:cNvPr>
          <xdr:cNvCxnSpPr/>
        </xdr:nvCxnSpPr>
        <xdr:spPr>
          <a:xfrm>
            <a:off x="2757485" y="10143649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4" name="Straight Connector 3173">
            <a:extLst>
              <a:ext uri="{FF2B5EF4-FFF2-40B4-BE49-F238E27FC236}">
                <a16:creationId xmlns:a16="http://schemas.microsoft.com/office/drawing/2014/main" id="{04860371-96F3-439A-9798-9EA1EB7F4639}"/>
              </a:ext>
            </a:extLst>
          </xdr:cNvPr>
          <xdr:cNvCxnSpPr/>
        </xdr:nvCxnSpPr>
        <xdr:spPr>
          <a:xfrm flipH="1">
            <a:off x="3186109" y="101393630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5" name="Straight Connector 3174">
            <a:extLst>
              <a:ext uri="{FF2B5EF4-FFF2-40B4-BE49-F238E27FC236}">
                <a16:creationId xmlns:a16="http://schemas.microsoft.com/office/drawing/2014/main" id="{5F4F77C2-C1E7-4E69-8107-CA0EFA5041D3}"/>
              </a:ext>
            </a:extLst>
          </xdr:cNvPr>
          <xdr:cNvCxnSpPr/>
        </xdr:nvCxnSpPr>
        <xdr:spPr>
          <a:xfrm>
            <a:off x="1900251" y="97859851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6" name="Straight Connector 3175">
            <a:extLst>
              <a:ext uri="{FF2B5EF4-FFF2-40B4-BE49-F238E27FC236}">
                <a16:creationId xmlns:a16="http://schemas.microsoft.com/office/drawing/2014/main" id="{00C5A1DD-4663-426D-8FDD-C729926079A9}"/>
              </a:ext>
            </a:extLst>
          </xdr:cNvPr>
          <xdr:cNvCxnSpPr/>
        </xdr:nvCxnSpPr>
        <xdr:spPr>
          <a:xfrm flipH="1">
            <a:off x="1857390" y="97883663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7" name="Straight Connector 3176">
            <a:extLst>
              <a:ext uri="{FF2B5EF4-FFF2-40B4-BE49-F238E27FC236}">
                <a16:creationId xmlns:a16="http://schemas.microsoft.com/office/drawing/2014/main" id="{CFEFB35A-AF1D-493E-AB9C-ADF37186B4B5}"/>
              </a:ext>
            </a:extLst>
          </xdr:cNvPr>
          <xdr:cNvCxnSpPr/>
        </xdr:nvCxnSpPr>
        <xdr:spPr>
          <a:xfrm>
            <a:off x="3605219" y="97859850"/>
            <a:ext cx="0" cy="3286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8" name="Straight Connector 3177">
            <a:extLst>
              <a:ext uri="{FF2B5EF4-FFF2-40B4-BE49-F238E27FC236}">
                <a16:creationId xmlns:a16="http://schemas.microsoft.com/office/drawing/2014/main" id="{BCCABE4C-6916-400A-85B8-BD9ADF6A3B09}"/>
              </a:ext>
            </a:extLst>
          </xdr:cNvPr>
          <xdr:cNvCxnSpPr/>
        </xdr:nvCxnSpPr>
        <xdr:spPr>
          <a:xfrm flipH="1">
            <a:off x="3562357" y="97883662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9" name="Straight Connector 3178">
            <a:extLst>
              <a:ext uri="{FF2B5EF4-FFF2-40B4-BE49-F238E27FC236}">
                <a16:creationId xmlns:a16="http://schemas.microsoft.com/office/drawing/2014/main" id="{E50C7CF2-483F-49AB-9316-2120E94D5A02}"/>
              </a:ext>
            </a:extLst>
          </xdr:cNvPr>
          <xdr:cNvCxnSpPr/>
        </xdr:nvCxnSpPr>
        <xdr:spPr>
          <a:xfrm flipH="1">
            <a:off x="4976813" y="98164651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0" name="Straight Connector 3179">
            <a:extLst>
              <a:ext uri="{FF2B5EF4-FFF2-40B4-BE49-F238E27FC236}">
                <a16:creationId xmlns:a16="http://schemas.microsoft.com/office/drawing/2014/main" id="{1F264720-9A4C-4C01-8EDD-698E075808A8}"/>
              </a:ext>
            </a:extLst>
          </xdr:cNvPr>
          <xdr:cNvCxnSpPr/>
        </xdr:nvCxnSpPr>
        <xdr:spPr>
          <a:xfrm>
            <a:off x="2767012" y="101712712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1" name="Straight Connector 3180">
            <a:extLst>
              <a:ext uri="{FF2B5EF4-FFF2-40B4-BE49-F238E27FC236}">
                <a16:creationId xmlns:a16="http://schemas.microsoft.com/office/drawing/2014/main" id="{717F32BD-5BE2-4DE1-B3FA-C3B3BF61D0B9}"/>
              </a:ext>
            </a:extLst>
          </xdr:cNvPr>
          <xdr:cNvCxnSpPr/>
        </xdr:nvCxnSpPr>
        <xdr:spPr>
          <a:xfrm flipH="1">
            <a:off x="3195646" y="102260409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2" name="Straight Connector 3181">
            <a:extLst>
              <a:ext uri="{FF2B5EF4-FFF2-40B4-BE49-F238E27FC236}">
                <a16:creationId xmlns:a16="http://schemas.microsoft.com/office/drawing/2014/main" id="{09E2D96C-6920-4282-9E6F-36014C3EF5FB}"/>
              </a:ext>
            </a:extLst>
          </xdr:cNvPr>
          <xdr:cNvCxnSpPr/>
        </xdr:nvCxnSpPr>
        <xdr:spPr>
          <a:xfrm>
            <a:off x="1138238" y="101336475"/>
            <a:ext cx="1614487" cy="3714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3" name="Straight Connector 3182">
            <a:extLst>
              <a:ext uri="{FF2B5EF4-FFF2-40B4-BE49-F238E27FC236}">
                <a16:creationId xmlns:a16="http://schemas.microsoft.com/office/drawing/2014/main" id="{0F2DD026-784E-40F1-B165-1B437FF4504A}"/>
              </a:ext>
            </a:extLst>
          </xdr:cNvPr>
          <xdr:cNvCxnSpPr/>
        </xdr:nvCxnSpPr>
        <xdr:spPr>
          <a:xfrm flipV="1">
            <a:off x="2757488" y="101346000"/>
            <a:ext cx="1619250" cy="3619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4" name="Straight Connector 3183">
            <a:extLst>
              <a:ext uri="{FF2B5EF4-FFF2-40B4-BE49-F238E27FC236}">
                <a16:creationId xmlns:a16="http://schemas.microsoft.com/office/drawing/2014/main" id="{CF6985AA-873F-4525-A757-0C0F95D902BE}"/>
              </a:ext>
            </a:extLst>
          </xdr:cNvPr>
          <xdr:cNvCxnSpPr/>
        </xdr:nvCxnSpPr>
        <xdr:spPr>
          <a:xfrm flipH="1" flipV="1">
            <a:off x="1138238" y="101341238"/>
            <a:ext cx="1452562" cy="32861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5" name="Straight Connector 3184">
            <a:extLst>
              <a:ext uri="{FF2B5EF4-FFF2-40B4-BE49-F238E27FC236}">
                <a16:creationId xmlns:a16="http://schemas.microsoft.com/office/drawing/2014/main" id="{4C7FD711-9A46-4AD8-9A1B-EE83236E8AC0}"/>
              </a:ext>
            </a:extLst>
          </xdr:cNvPr>
          <xdr:cNvCxnSpPr/>
        </xdr:nvCxnSpPr>
        <xdr:spPr>
          <a:xfrm flipH="1">
            <a:off x="2914650" y="101341238"/>
            <a:ext cx="1462088" cy="3286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6" name="Straight Connector 3185">
            <a:extLst>
              <a:ext uri="{FF2B5EF4-FFF2-40B4-BE49-F238E27FC236}">
                <a16:creationId xmlns:a16="http://schemas.microsoft.com/office/drawing/2014/main" id="{2B839DEA-9FBF-4254-9EEE-4AAD7A738EE8}"/>
              </a:ext>
            </a:extLst>
          </xdr:cNvPr>
          <xdr:cNvCxnSpPr/>
        </xdr:nvCxnSpPr>
        <xdr:spPr>
          <a:xfrm flipH="1">
            <a:off x="723900" y="10133647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7" name="Straight Connector 3186">
            <a:extLst>
              <a:ext uri="{FF2B5EF4-FFF2-40B4-BE49-F238E27FC236}">
                <a16:creationId xmlns:a16="http://schemas.microsoft.com/office/drawing/2014/main" id="{E86101F7-03C4-49F9-9DE7-6BA94D1E6F70}"/>
              </a:ext>
            </a:extLst>
          </xdr:cNvPr>
          <xdr:cNvCxnSpPr/>
        </xdr:nvCxnSpPr>
        <xdr:spPr>
          <a:xfrm flipH="1">
            <a:off x="762000" y="10129837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8" name="Straight Connector 3187">
            <a:extLst>
              <a:ext uri="{FF2B5EF4-FFF2-40B4-BE49-F238E27FC236}">
                <a16:creationId xmlns:a16="http://schemas.microsoft.com/office/drawing/2014/main" id="{7794978C-8313-4559-9791-F419E58BE51B}"/>
              </a:ext>
            </a:extLst>
          </xdr:cNvPr>
          <xdr:cNvCxnSpPr/>
        </xdr:nvCxnSpPr>
        <xdr:spPr>
          <a:xfrm>
            <a:off x="2776543" y="102303264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9" name="Straight Connector 3188">
            <a:extLst>
              <a:ext uri="{FF2B5EF4-FFF2-40B4-BE49-F238E27FC236}">
                <a16:creationId xmlns:a16="http://schemas.microsoft.com/office/drawing/2014/main" id="{38ED3512-F961-4C1C-930A-977ABE1D27E8}"/>
              </a:ext>
            </a:extLst>
          </xdr:cNvPr>
          <xdr:cNvCxnSpPr/>
        </xdr:nvCxnSpPr>
        <xdr:spPr>
          <a:xfrm>
            <a:off x="1138238" y="101769863"/>
            <a:ext cx="161925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0" name="Straight Connector 3189">
            <a:extLst>
              <a:ext uri="{FF2B5EF4-FFF2-40B4-BE49-F238E27FC236}">
                <a16:creationId xmlns:a16="http://schemas.microsoft.com/office/drawing/2014/main" id="{C8DCBDF1-2363-47C6-AE4C-71C4987F8F8B}"/>
              </a:ext>
            </a:extLst>
          </xdr:cNvPr>
          <xdr:cNvCxnSpPr/>
        </xdr:nvCxnSpPr>
        <xdr:spPr>
          <a:xfrm flipV="1">
            <a:off x="2752729" y="101774625"/>
            <a:ext cx="1624009" cy="2200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1" name="Straight Connector 3190">
            <a:extLst>
              <a:ext uri="{FF2B5EF4-FFF2-40B4-BE49-F238E27FC236}">
                <a16:creationId xmlns:a16="http://schemas.microsoft.com/office/drawing/2014/main" id="{18C70E81-86BF-4285-8716-BF5A8492E3C9}"/>
              </a:ext>
            </a:extLst>
          </xdr:cNvPr>
          <xdr:cNvCxnSpPr/>
        </xdr:nvCxnSpPr>
        <xdr:spPr>
          <a:xfrm flipH="1" flipV="1">
            <a:off x="1133475" y="101769863"/>
            <a:ext cx="1462089" cy="20478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2" name="Straight Connector 3191">
            <a:extLst>
              <a:ext uri="{FF2B5EF4-FFF2-40B4-BE49-F238E27FC236}">
                <a16:creationId xmlns:a16="http://schemas.microsoft.com/office/drawing/2014/main" id="{DD5884A5-2ECF-490F-903D-7449EB69BB93}"/>
              </a:ext>
            </a:extLst>
          </xdr:cNvPr>
          <xdr:cNvCxnSpPr/>
        </xdr:nvCxnSpPr>
        <xdr:spPr>
          <a:xfrm flipH="1">
            <a:off x="2919413" y="101779388"/>
            <a:ext cx="1443038" cy="19526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3" name="Straight Connector 3192">
            <a:extLst>
              <a:ext uri="{FF2B5EF4-FFF2-40B4-BE49-F238E27FC236}">
                <a16:creationId xmlns:a16="http://schemas.microsoft.com/office/drawing/2014/main" id="{3D2929BC-A1DB-4EAC-90F7-EC4AA80F3D00}"/>
              </a:ext>
            </a:extLst>
          </xdr:cNvPr>
          <xdr:cNvCxnSpPr/>
        </xdr:nvCxnSpPr>
        <xdr:spPr>
          <a:xfrm flipH="1">
            <a:off x="728668" y="101765105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4" name="Straight Connector 3193">
            <a:extLst>
              <a:ext uri="{FF2B5EF4-FFF2-40B4-BE49-F238E27FC236}">
                <a16:creationId xmlns:a16="http://schemas.microsoft.com/office/drawing/2014/main" id="{354E5220-544B-467F-9DE0-10CB4800813E}"/>
              </a:ext>
            </a:extLst>
          </xdr:cNvPr>
          <xdr:cNvCxnSpPr/>
        </xdr:nvCxnSpPr>
        <xdr:spPr>
          <a:xfrm flipH="1">
            <a:off x="766768" y="101727006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5" name="Straight Connector 3194">
            <a:extLst>
              <a:ext uri="{FF2B5EF4-FFF2-40B4-BE49-F238E27FC236}">
                <a16:creationId xmlns:a16="http://schemas.microsoft.com/office/drawing/2014/main" id="{A0E19916-0A0E-441A-95D7-6A0D663EEEA5}"/>
              </a:ext>
            </a:extLst>
          </xdr:cNvPr>
          <xdr:cNvCxnSpPr/>
        </xdr:nvCxnSpPr>
        <xdr:spPr>
          <a:xfrm flipH="1">
            <a:off x="3195638" y="102593774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6" name="Straight Connector 3195">
            <a:extLst>
              <a:ext uri="{FF2B5EF4-FFF2-40B4-BE49-F238E27FC236}">
                <a16:creationId xmlns:a16="http://schemas.microsoft.com/office/drawing/2014/main" id="{D70B9C93-C119-48B9-B227-CB3155C17B72}"/>
              </a:ext>
            </a:extLst>
          </xdr:cNvPr>
          <xdr:cNvCxnSpPr/>
        </xdr:nvCxnSpPr>
        <xdr:spPr>
          <a:xfrm flipH="1" flipV="1">
            <a:off x="1138238" y="102193726"/>
            <a:ext cx="1457325" cy="95249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7" name="Straight Connector 3196">
            <a:extLst>
              <a:ext uri="{FF2B5EF4-FFF2-40B4-BE49-F238E27FC236}">
                <a16:creationId xmlns:a16="http://schemas.microsoft.com/office/drawing/2014/main" id="{181AC30A-8D44-4924-8BFF-077A44638FF8}"/>
              </a:ext>
            </a:extLst>
          </xdr:cNvPr>
          <xdr:cNvCxnSpPr/>
        </xdr:nvCxnSpPr>
        <xdr:spPr>
          <a:xfrm flipV="1">
            <a:off x="2752725" y="102184200"/>
            <a:ext cx="1614488" cy="11486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8" name="Straight Connector 3197">
            <a:extLst>
              <a:ext uri="{FF2B5EF4-FFF2-40B4-BE49-F238E27FC236}">
                <a16:creationId xmlns:a16="http://schemas.microsoft.com/office/drawing/2014/main" id="{0100D0B4-D288-411E-9D9F-ABA2679C9EDA}"/>
              </a:ext>
            </a:extLst>
          </xdr:cNvPr>
          <xdr:cNvCxnSpPr/>
        </xdr:nvCxnSpPr>
        <xdr:spPr>
          <a:xfrm flipH="1">
            <a:off x="2914650" y="102188963"/>
            <a:ext cx="1457325" cy="1000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9" name="Straight Connector 3198">
            <a:extLst>
              <a:ext uri="{FF2B5EF4-FFF2-40B4-BE49-F238E27FC236}">
                <a16:creationId xmlns:a16="http://schemas.microsoft.com/office/drawing/2014/main" id="{B36CC9BD-4AE7-4822-B5B8-7B30183891CB}"/>
              </a:ext>
            </a:extLst>
          </xdr:cNvPr>
          <xdr:cNvCxnSpPr/>
        </xdr:nvCxnSpPr>
        <xdr:spPr>
          <a:xfrm flipH="1">
            <a:off x="723900" y="102193724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0" name="Straight Connector 3199">
            <a:extLst>
              <a:ext uri="{FF2B5EF4-FFF2-40B4-BE49-F238E27FC236}">
                <a16:creationId xmlns:a16="http://schemas.microsoft.com/office/drawing/2014/main" id="{6779A0BE-9108-444A-B838-3B4E7291E314}"/>
              </a:ext>
            </a:extLst>
          </xdr:cNvPr>
          <xdr:cNvCxnSpPr/>
        </xdr:nvCxnSpPr>
        <xdr:spPr>
          <a:xfrm flipH="1">
            <a:off x="762000" y="10215562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1" name="Straight Connector 3200">
            <a:extLst>
              <a:ext uri="{FF2B5EF4-FFF2-40B4-BE49-F238E27FC236}">
                <a16:creationId xmlns:a16="http://schemas.microsoft.com/office/drawing/2014/main" id="{6584D519-CE0C-43DB-BBE6-7CCA65C3AF89}"/>
              </a:ext>
            </a:extLst>
          </xdr:cNvPr>
          <xdr:cNvCxnSpPr/>
        </xdr:nvCxnSpPr>
        <xdr:spPr>
          <a:xfrm flipH="1">
            <a:off x="3190883" y="101960362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2" name="Straight Connector 3201">
            <a:extLst>
              <a:ext uri="{FF2B5EF4-FFF2-40B4-BE49-F238E27FC236}">
                <a16:creationId xmlns:a16="http://schemas.microsoft.com/office/drawing/2014/main" id="{B3DB33EB-EE50-49BE-8D23-3A44B92822C4}"/>
              </a:ext>
            </a:extLst>
          </xdr:cNvPr>
          <xdr:cNvCxnSpPr/>
        </xdr:nvCxnSpPr>
        <xdr:spPr>
          <a:xfrm>
            <a:off x="2762250" y="101998458"/>
            <a:ext cx="571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4" name="Straight Connector 3203">
            <a:extLst>
              <a:ext uri="{FF2B5EF4-FFF2-40B4-BE49-F238E27FC236}">
                <a16:creationId xmlns:a16="http://schemas.microsoft.com/office/drawing/2014/main" id="{B2C680BC-D93A-4891-B5BA-DB9360F2B6E9}"/>
              </a:ext>
            </a:extLst>
          </xdr:cNvPr>
          <xdr:cNvCxnSpPr/>
        </xdr:nvCxnSpPr>
        <xdr:spPr>
          <a:xfrm>
            <a:off x="1133475" y="102569963"/>
            <a:ext cx="1633536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5" name="Straight Connector 3204">
            <a:extLst>
              <a:ext uri="{FF2B5EF4-FFF2-40B4-BE49-F238E27FC236}">
                <a16:creationId xmlns:a16="http://schemas.microsoft.com/office/drawing/2014/main" id="{C6F1DBD2-078E-40A0-AC17-BFBCA699ADB9}"/>
              </a:ext>
            </a:extLst>
          </xdr:cNvPr>
          <xdr:cNvCxnSpPr/>
        </xdr:nvCxnSpPr>
        <xdr:spPr>
          <a:xfrm flipH="1" flipV="1">
            <a:off x="1138238" y="102565200"/>
            <a:ext cx="1462087" cy="76203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6" name="Straight Connector 3205">
            <a:extLst>
              <a:ext uri="{FF2B5EF4-FFF2-40B4-BE49-F238E27FC236}">
                <a16:creationId xmlns:a16="http://schemas.microsoft.com/office/drawing/2014/main" id="{32E2B30B-3E2D-4569-9D7C-4762F080DFE7}"/>
              </a:ext>
            </a:extLst>
          </xdr:cNvPr>
          <xdr:cNvCxnSpPr/>
        </xdr:nvCxnSpPr>
        <xdr:spPr>
          <a:xfrm flipV="1">
            <a:off x="2757486" y="102565200"/>
            <a:ext cx="1614489" cy="8628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7" name="Straight Connector 3206">
            <a:extLst>
              <a:ext uri="{FF2B5EF4-FFF2-40B4-BE49-F238E27FC236}">
                <a16:creationId xmlns:a16="http://schemas.microsoft.com/office/drawing/2014/main" id="{21BE67B2-7D86-4A5A-B35E-473D3B73F797}"/>
              </a:ext>
            </a:extLst>
          </xdr:cNvPr>
          <xdr:cNvCxnSpPr/>
        </xdr:nvCxnSpPr>
        <xdr:spPr>
          <a:xfrm flipH="1">
            <a:off x="2919413" y="102565200"/>
            <a:ext cx="1447800" cy="76201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8" name="Straight Connector 3207">
            <a:extLst>
              <a:ext uri="{FF2B5EF4-FFF2-40B4-BE49-F238E27FC236}">
                <a16:creationId xmlns:a16="http://schemas.microsoft.com/office/drawing/2014/main" id="{33C890B0-605B-490B-9E4C-C49FFDA7C01D}"/>
              </a:ext>
            </a:extLst>
          </xdr:cNvPr>
          <xdr:cNvCxnSpPr/>
        </xdr:nvCxnSpPr>
        <xdr:spPr>
          <a:xfrm flipH="1">
            <a:off x="3195638" y="102879524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9" name="Straight Connector 3208">
            <a:extLst>
              <a:ext uri="{FF2B5EF4-FFF2-40B4-BE49-F238E27FC236}">
                <a16:creationId xmlns:a16="http://schemas.microsoft.com/office/drawing/2014/main" id="{C543E729-4ADB-46DD-9A21-220B31CA53D3}"/>
              </a:ext>
            </a:extLst>
          </xdr:cNvPr>
          <xdr:cNvCxnSpPr/>
        </xdr:nvCxnSpPr>
        <xdr:spPr>
          <a:xfrm flipH="1">
            <a:off x="723900" y="102560437"/>
            <a:ext cx="381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10" name="Straight Connector 3209">
            <a:extLst>
              <a:ext uri="{FF2B5EF4-FFF2-40B4-BE49-F238E27FC236}">
                <a16:creationId xmlns:a16="http://schemas.microsoft.com/office/drawing/2014/main" id="{488A24B4-D5ED-49F9-83F3-A98333F5FCDE}"/>
              </a:ext>
            </a:extLst>
          </xdr:cNvPr>
          <xdr:cNvCxnSpPr/>
        </xdr:nvCxnSpPr>
        <xdr:spPr>
          <a:xfrm flipH="1">
            <a:off x="762000" y="10252233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player.biz.tr/35863393-Merdiven-hesabi-ve-dengelendirme.html" TargetMode="External"/><Relationship Id="rId13" Type="http://schemas.openxmlformats.org/officeDocument/2006/relationships/hyperlink" Target="https://docplayer.biz.tr/35863393-Merdiven-hesabi-ve-dengelendirm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docplayer.biz.tr/35863393-Merdiven-hesabi-ve-dengelendirme.html" TargetMode="External"/><Relationship Id="rId7" Type="http://schemas.openxmlformats.org/officeDocument/2006/relationships/hyperlink" Target="https://docplayer.biz.tr/35863393-Merdiven-hesabi-ve-dengelendirme.html" TargetMode="External"/><Relationship Id="rId12" Type="http://schemas.openxmlformats.org/officeDocument/2006/relationships/hyperlink" Target="https://docplayer.biz.tr/35863393-Merdiven-hesabi-ve-dengelendirme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ocplayer.biz.tr/35863393-Merdiven-hesabi-ve-dengelendirme.html" TargetMode="External"/><Relationship Id="rId16" Type="http://schemas.openxmlformats.org/officeDocument/2006/relationships/hyperlink" Target="https://docplayer.biz.tr/35863393-Merdiven-hesabi-ve-dengelendirme.html" TargetMode="External"/><Relationship Id="rId1" Type="http://schemas.openxmlformats.org/officeDocument/2006/relationships/hyperlink" Target="https://docplayer.biz.tr/35863393-Merdiven-hesabi-ve-dengelendirme.html" TargetMode="External"/><Relationship Id="rId6" Type="http://schemas.openxmlformats.org/officeDocument/2006/relationships/hyperlink" Target="https://docplayer.biz.tr/35863393-Merdiven-hesabi-ve-dengelendirme.html" TargetMode="External"/><Relationship Id="rId11" Type="http://schemas.openxmlformats.org/officeDocument/2006/relationships/hyperlink" Target="https://docplayer.biz.tr/35863393-Merdiven-hesabi-ve-dengelendirme.html" TargetMode="External"/><Relationship Id="rId5" Type="http://schemas.openxmlformats.org/officeDocument/2006/relationships/hyperlink" Target="https://docplayer.biz.tr/35863393-Merdiven-hesabi-ve-dengelendirme.html" TargetMode="External"/><Relationship Id="rId15" Type="http://schemas.openxmlformats.org/officeDocument/2006/relationships/hyperlink" Target="https://docplayer.biz.tr/35863393-Merdiven-hesabi-ve-dengelendirme.html" TargetMode="External"/><Relationship Id="rId10" Type="http://schemas.openxmlformats.org/officeDocument/2006/relationships/hyperlink" Target="https://docplayer.biz.tr/35863393-Merdiven-hesabi-ve-dengelendirme.html" TargetMode="External"/><Relationship Id="rId4" Type="http://schemas.openxmlformats.org/officeDocument/2006/relationships/hyperlink" Target="https://docplayer.biz.tr/35863393-Merdiven-hesabi-ve-dengelendirme.html" TargetMode="External"/><Relationship Id="rId9" Type="http://schemas.openxmlformats.org/officeDocument/2006/relationships/hyperlink" Target="https://docplayer.biz.tr/35863393-Merdiven-hesabi-ve-dengelendirme.html" TargetMode="External"/><Relationship Id="rId14" Type="http://schemas.openxmlformats.org/officeDocument/2006/relationships/hyperlink" Target="https://docplayer.biz.tr/35863393-Merdiven-hesabi-ve-dengelendir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14907-80FD-41BA-B0B0-20FDFCD4F933}">
  <sheetPr codeName="Sheet1"/>
  <dimension ref="A1:CW674"/>
  <sheetViews>
    <sheetView showGridLines="0" tabSelected="1" zoomScaleNormal="100" workbookViewId="0">
      <selection activeCell="AU7" sqref="AU7"/>
    </sheetView>
  </sheetViews>
  <sheetFormatPr defaultRowHeight="11.25" x14ac:dyDescent="0.2"/>
  <cols>
    <col min="1" max="823" width="2.83203125" style="1" customWidth="1"/>
    <col min="824" max="16384" width="9.33203125" style="1"/>
  </cols>
  <sheetData>
    <row r="1" spans="1:101" ht="12" thickBot="1" x14ac:dyDescent="0.25"/>
    <row r="2" spans="1:101" ht="48.75" customHeight="1" x14ac:dyDescent="0.2">
      <c r="A2" s="18"/>
      <c r="B2" s="89" t="s">
        <v>37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6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</row>
    <row r="3" spans="1:101" x14ac:dyDescent="0.2">
      <c r="A3" s="5"/>
      <c r="B3" s="2"/>
      <c r="C3" s="3"/>
      <c r="D3" s="3"/>
      <c r="E3" s="3"/>
      <c r="F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16" t="s">
        <v>5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18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</row>
    <row r="4" spans="1:101" x14ac:dyDescent="0.2">
      <c r="A4" s="5"/>
      <c r="B4" s="2"/>
      <c r="C4" s="3"/>
      <c r="D4" s="3"/>
      <c r="E4" s="3"/>
      <c r="F4" s="3"/>
      <c r="G4" s="3"/>
      <c r="H4" s="3"/>
      <c r="I4" s="3"/>
      <c r="J4" s="3"/>
      <c r="K4" s="71">
        <f>+K48</f>
        <v>132.5</v>
      </c>
      <c r="L4" s="71"/>
      <c r="M4" s="71"/>
      <c r="N4" s="3" t="s">
        <v>0</v>
      </c>
      <c r="O4" s="3"/>
      <c r="P4" s="3"/>
      <c r="Q4" s="3"/>
      <c r="R4" s="3"/>
      <c r="S4" s="3"/>
      <c r="T4" s="3"/>
      <c r="U4" s="71">
        <f>+K4</f>
        <v>132.5</v>
      </c>
      <c r="V4" s="71"/>
      <c r="W4" s="71"/>
      <c r="X4" s="3" t="s">
        <v>0</v>
      </c>
      <c r="Y4" s="3"/>
      <c r="Z4" s="16"/>
      <c r="AA4" s="3"/>
      <c r="AB4" s="3"/>
      <c r="AC4" s="3"/>
      <c r="AD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5"/>
      <c r="CR4" s="3"/>
    </row>
    <row r="5" spans="1:101" x14ac:dyDescent="0.2">
      <c r="A5" s="5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5"/>
      <c r="CR5" s="3"/>
    </row>
    <row r="6" spans="1:101" x14ac:dyDescent="0.2">
      <c r="A6" s="5"/>
      <c r="B6" s="2"/>
      <c r="C6" s="3"/>
      <c r="D6" s="3"/>
      <c r="E6" s="3"/>
      <c r="F6" s="3"/>
      <c r="H6" s="71">
        <f>+K4-K6-O6</f>
        <v>17.904265622207276</v>
      </c>
      <c r="I6" s="71"/>
      <c r="J6" s="3" t="s">
        <v>0</v>
      </c>
      <c r="K6" s="71">
        <f>(N46*SIN((2*AO6*360/(2*PI()*N46))*PI()/180))*((AC14-(N46*COS((2*AO6*360/(2*PI()*N46))*PI()/180)))+((N46*COS((2*AO6*360/(2*PI()*N46))*PI()/180))-M19+S19+S21))/((N46*COS((2*AO6*360/(2*PI()*N46))*PI()/180))-M19+S19+S21)-O6</f>
        <v>61.943702593586693</v>
      </c>
      <c r="L6" s="71"/>
      <c r="M6" s="3" t="s">
        <v>0</v>
      </c>
      <c r="N6" s="3"/>
      <c r="O6" s="71">
        <f>((N46*SIN((AO6*360/(2*PI()*N46))*PI()/180))-Q16)/((N46*COS((AO6*360/(2*PI()*N46))*PI()/180))-M19)*(I46+N46-(N46*COS((AO6*360/(2*PI()*N46))*PI()/180)))+(N46*SIN((AO6*360/(2*PI()*N46))*PI()/180))</f>
        <v>52.652031784206031</v>
      </c>
      <c r="P6" s="71"/>
      <c r="Q6" s="3" t="s">
        <v>0</v>
      </c>
      <c r="R6" s="3"/>
      <c r="S6" s="71">
        <f>+O6</f>
        <v>52.652031784206031</v>
      </c>
      <c r="T6" s="71"/>
      <c r="U6" s="3" t="s">
        <v>0</v>
      </c>
      <c r="V6" s="71">
        <f>+K6</f>
        <v>61.943702593586693</v>
      </c>
      <c r="W6" s="71"/>
      <c r="X6" s="3" t="s">
        <v>0</v>
      </c>
      <c r="Z6" s="71">
        <f>+H6</f>
        <v>17.904265622207276</v>
      </c>
      <c r="AA6" s="71"/>
      <c r="AB6" s="3" t="s">
        <v>0</v>
      </c>
      <c r="AD6" s="3"/>
      <c r="AE6" s="3"/>
      <c r="AF6" s="3"/>
      <c r="AG6" s="3"/>
      <c r="AH6" s="3" t="s">
        <v>1</v>
      </c>
      <c r="AI6" s="3"/>
      <c r="AJ6" s="3"/>
      <c r="AK6" s="3"/>
      <c r="AL6" s="3"/>
      <c r="AM6" s="3"/>
      <c r="AN6" s="3"/>
      <c r="AO6" s="78">
        <v>30</v>
      </c>
      <c r="AP6" s="78"/>
      <c r="AQ6" s="3" t="s">
        <v>0</v>
      </c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5"/>
      <c r="BG6" s="27" t="s">
        <v>22</v>
      </c>
      <c r="CR6" s="3"/>
    </row>
    <row r="7" spans="1:101" x14ac:dyDescent="0.2">
      <c r="A7" s="5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 t="s">
        <v>3</v>
      </c>
      <c r="AI7" s="3"/>
      <c r="AJ7" s="3"/>
      <c r="AK7" s="3"/>
      <c r="AL7" s="3"/>
      <c r="AM7" s="3"/>
      <c r="AN7" s="9">
        <v>26</v>
      </c>
      <c r="AO7" s="3" t="s">
        <v>4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5"/>
      <c r="BG7" s="3" t="s">
        <v>18</v>
      </c>
      <c r="BH7" s="3"/>
      <c r="BI7" s="3"/>
      <c r="BJ7" s="3"/>
      <c r="BK7" s="3"/>
      <c r="BL7" s="78">
        <v>4.5</v>
      </c>
      <c r="BM7" s="78"/>
      <c r="BN7" s="3" t="s">
        <v>10</v>
      </c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CR7" s="3"/>
    </row>
    <row r="8" spans="1:101" x14ac:dyDescent="0.2">
      <c r="A8" s="5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82">
        <f>O6*(AC29+M19-S19)/(AC14-M19+S19)</f>
        <v>92.584273466771691</v>
      </c>
      <c r="AI8" s="82"/>
      <c r="AJ8" s="82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5"/>
      <c r="BG8" s="21" t="s">
        <v>6</v>
      </c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CR8" s="3"/>
    </row>
    <row r="9" spans="1:101" x14ac:dyDescent="0.2">
      <c r="A9" s="5"/>
      <c r="B9" s="2"/>
      <c r="C9" s="3"/>
      <c r="D9" s="3"/>
      <c r="E9" s="3"/>
      <c r="F9" s="3"/>
      <c r="G9" s="3"/>
      <c r="H9" s="59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1"/>
      <c r="AB9" s="3"/>
      <c r="AC9" s="3"/>
      <c r="AD9" s="3"/>
      <c r="AE9" s="3"/>
      <c r="AF9" s="3"/>
      <c r="AG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5"/>
      <c r="BG9" s="3" t="s">
        <v>7</v>
      </c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CR9" s="3"/>
    </row>
    <row r="10" spans="1:101" x14ac:dyDescent="0.2">
      <c r="A10" s="5"/>
      <c r="B10" s="2"/>
      <c r="C10" s="3"/>
      <c r="D10" s="71">
        <f>+C25-D14-D19-D22-D25-D28-D30-D36-D41-D33-D38</f>
        <v>53.779741724823012</v>
      </c>
      <c r="E10" s="71"/>
      <c r="F10" s="3" t="s">
        <v>0</v>
      </c>
      <c r="G10" s="3"/>
      <c r="H10" s="62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3"/>
      <c r="AC10" s="3"/>
      <c r="AD10" s="3"/>
      <c r="AE10" s="3"/>
      <c r="AF10" s="3"/>
      <c r="AG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5"/>
      <c r="BG10" s="3" t="s">
        <v>8</v>
      </c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101" x14ac:dyDescent="0.2">
      <c r="A11" s="5"/>
      <c r="B11" s="2"/>
      <c r="C11" s="3"/>
      <c r="D11" s="3"/>
      <c r="E11" s="3"/>
      <c r="F11" s="3"/>
      <c r="G11" s="3"/>
      <c r="H11" s="62"/>
      <c r="I11" s="63"/>
      <c r="J11" s="63"/>
      <c r="K11" s="63"/>
      <c r="L11" s="63"/>
      <c r="M11" s="63"/>
      <c r="N11" s="63"/>
      <c r="O11" s="63"/>
      <c r="P11" s="63">
        <v>13</v>
      </c>
      <c r="Q11" s="63"/>
      <c r="R11" s="63"/>
      <c r="S11" s="63">
        <v>14</v>
      </c>
      <c r="T11" s="63"/>
      <c r="U11" s="63"/>
      <c r="V11" s="63">
        <v>15</v>
      </c>
      <c r="W11" s="63"/>
      <c r="X11" s="63"/>
      <c r="Y11" s="63"/>
      <c r="Z11" s="63"/>
      <c r="AA11" s="64"/>
      <c r="AB11" s="3"/>
      <c r="AC11" s="3"/>
      <c r="AD11" s="3"/>
      <c r="AE11" s="3"/>
      <c r="AF11" s="3"/>
      <c r="AG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5"/>
      <c r="BG11" s="3" t="s">
        <v>9</v>
      </c>
      <c r="BH11" s="3"/>
      <c r="BI11" s="71">
        <f>0.63-2*BI12</f>
        <v>0.28384615384615386</v>
      </c>
      <c r="BJ11" s="71"/>
      <c r="BK11" s="71"/>
      <c r="BL11" s="3" t="s">
        <v>10</v>
      </c>
      <c r="BM11" s="3" t="s">
        <v>11</v>
      </c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CR11" s="3"/>
      <c r="CS11" s="3"/>
      <c r="CT11" s="3"/>
      <c r="CU11" s="3"/>
      <c r="CV11" s="3"/>
      <c r="CW11" s="3"/>
    </row>
    <row r="12" spans="1:101" x14ac:dyDescent="0.2">
      <c r="A12" s="5"/>
      <c r="B12" s="2"/>
      <c r="C12" s="3"/>
      <c r="D12" s="3"/>
      <c r="E12" s="3"/>
      <c r="F12" s="3"/>
      <c r="G12" s="3"/>
      <c r="H12" s="62"/>
      <c r="I12" s="63"/>
      <c r="J12" s="63"/>
      <c r="K12" s="63"/>
      <c r="L12" s="63"/>
      <c r="M12" s="63">
        <v>12</v>
      </c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4"/>
      <c r="AB12" s="3"/>
      <c r="AC12" s="79" t="s">
        <v>0</v>
      </c>
      <c r="AD12" s="3"/>
      <c r="AE12" s="79" t="s">
        <v>0</v>
      </c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5"/>
      <c r="BG12" s="3" t="s">
        <v>12</v>
      </c>
      <c r="BH12" s="3"/>
      <c r="BI12" s="71">
        <f>BL7/BL13</f>
        <v>0.17307692307692307</v>
      </c>
      <c r="BJ12" s="71"/>
      <c r="BK12" s="71"/>
      <c r="BL12" s="3" t="s">
        <v>10</v>
      </c>
      <c r="BM12" s="3" t="s">
        <v>13</v>
      </c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101" x14ac:dyDescent="0.2">
      <c r="A13" s="5"/>
      <c r="B13" s="2"/>
      <c r="C13" s="3"/>
      <c r="D13" s="3"/>
      <c r="E13" s="3"/>
      <c r="F13" s="3"/>
      <c r="G13" s="3"/>
      <c r="H13" s="62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>
        <v>16</v>
      </c>
      <c r="Y13" s="63"/>
      <c r="Z13" s="63"/>
      <c r="AA13" s="64"/>
      <c r="AB13" s="3"/>
      <c r="AC13" s="79"/>
      <c r="AD13" s="3"/>
      <c r="AE13" s="79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5"/>
      <c r="BG13" s="3" t="s">
        <v>14</v>
      </c>
      <c r="BH13" s="3"/>
      <c r="BI13" s="3"/>
      <c r="BJ13" s="3"/>
      <c r="BK13" s="3"/>
      <c r="BL13" s="72">
        <v>26</v>
      </c>
      <c r="BM13" s="72"/>
      <c r="BN13" s="3" t="s">
        <v>4</v>
      </c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101" x14ac:dyDescent="0.2">
      <c r="A14" s="5"/>
      <c r="B14" s="2"/>
      <c r="C14" s="3"/>
      <c r="D14" s="71">
        <f>((S23+S24+S26+S28+S30+S32+S34+S36+S39+S41)*(K48+3*AH8)/(3*AH8))-((S24+S26+S28+S30+S32+S34+S36+S39+S41)*(K48+4*AH8)/(4*AH8))</f>
        <v>48.255223270493275</v>
      </c>
      <c r="E14" s="71"/>
      <c r="F14" s="3" t="s">
        <v>0</v>
      </c>
      <c r="G14" s="3"/>
      <c r="H14" s="62"/>
      <c r="I14" s="63"/>
      <c r="J14" s="63"/>
      <c r="K14" s="63">
        <v>11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4"/>
      <c r="AB14" s="3"/>
      <c r="AC14" s="79">
        <f>+K44+Q44/2</f>
        <v>132.5</v>
      </c>
      <c r="AD14" s="3"/>
      <c r="AE14" s="79">
        <f>+C25-AE29</f>
        <v>120</v>
      </c>
      <c r="AF14" s="3"/>
      <c r="AG14" s="3"/>
      <c r="AH14" s="3"/>
      <c r="AI14" s="3"/>
      <c r="AJ14" s="3"/>
      <c r="AK14" s="3"/>
      <c r="AL14" s="3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23"/>
      <c r="BG14" s="3">
        <v>2</v>
      </c>
      <c r="BH14" s="52" t="s">
        <v>15</v>
      </c>
      <c r="BI14" s="71">
        <f>+BI12</f>
        <v>0.17307692307692307</v>
      </c>
      <c r="BJ14" s="71"/>
      <c r="BK14" s="71"/>
      <c r="BL14" s="52" t="s">
        <v>16</v>
      </c>
      <c r="BM14" s="71">
        <f>+BI11</f>
        <v>0.28384615384615386</v>
      </c>
      <c r="BN14" s="71"/>
      <c r="BO14" s="71"/>
      <c r="BP14" s="52" t="s">
        <v>17</v>
      </c>
      <c r="BQ14" s="71">
        <f>+BG14*BI14+BM14</f>
        <v>0.63</v>
      </c>
      <c r="BR14" s="71"/>
      <c r="BS14" s="71"/>
      <c r="BT14" s="3" t="s">
        <v>10</v>
      </c>
      <c r="BU14" s="3"/>
      <c r="BV14" s="16" t="str">
        <f>IF(BQ14=0.63,"uygun.","uygun değil.")</f>
        <v>uygun.</v>
      </c>
      <c r="BW14" s="3"/>
      <c r="BX14" s="3"/>
      <c r="BY14" s="3"/>
    </row>
    <row r="15" spans="1:101" x14ac:dyDescent="0.2">
      <c r="A15" s="5"/>
      <c r="B15" s="2"/>
      <c r="C15" s="3"/>
      <c r="D15" s="3"/>
      <c r="E15" s="3"/>
      <c r="F15" s="3"/>
      <c r="G15" s="3"/>
      <c r="H15" s="62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4"/>
      <c r="AB15" s="3"/>
      <c r="AC15" s="79"/>
      <c r="AD15" s="3"/>
      <c r="AE15" s="79"/>
      <c r="AF15" s="3"/>
      <c r="AG15" s="3"/>
      <c r="AH15" s="3"/>
      <c r="AI15" s="3"/>
      <c r="AJ15" s="3"/>
      <c r="AK15" s="3"/>
      <c r="AL15" s="3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23"/>
    </row>
    <row r="16" spans="1:101" x14ac:dyDescent="0.2">
      <c r="A16" s="5"/>
      <c r="B16" s="2"/>
      <c r="C16" s="3"/>
      <c r="D16" s="3"/>
      <c r="E16" s="3"/>
      <c r="F16" s="3"/>
      <c r="G16" s="3"/>
      <c r="H16" s="62"/>
      <c r="I16" s="63"/>
      <c r="J16" s="63"/>
      <c r="K16" s="63"/>
      <c r="L16" s="63"/>
      <c r="M16" s="63"/>
      <c r="N16" s="63"/>
      <c r="O16" s="63"/>
      <c r="P16" s="63"/>
      <c r="Q16" s="69">
        <v>10</v>
      </c>
      <c r="R16" s="63" t="s">
        <v>0</v>
      </c>
      <c r="S16" s="63"/>
      <c r="T16" s="63"/>
      <c r="U16" s="63"/>
      <c r="V16" s="63"/>
      <c r="W16" s="63"/>
      <c r="X16" s="63"/>
      <c r="Y16" s="63"/>
      <c r="Z16" s="63"/>
      <c r="AA16" s="64"/>
      <c r="AB16" s="3"/>
      <c r="AC16" s="79"/>
      <c r="AD16" s="3"/>
      <c r="AE16" s="79"/>
      <c r="AF16" s="3"/>
      <c r="AG16" s="3"/>
      <c r="AH16" s="3"/>
      <c r="AI16" s="3"/>
      <c r="AJ16" s="3"/>
      <c r="AK16" s="3"/>
      <c r="AL16" s="3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23"/>
    </row>
    <row r="17" spans="1:59" x14ac:dyDescent="0.2">
      <c r="A17" s="5"/>
      <c r="B17" s="2"/>
      <c r="C17" s="3"/>
      <c r="D17" s="3"/>
      <c r="E17" s="3"/>
      <c r="F17" s="3"/>
      <c r="G17" s="3"/>
      <c r="H17" s="62"/>
      <c r="I17" s="63"/>
      <c r="J17" s="63">
        <v>10</v>
      </c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>
        <v>17</v>
      </c>
      <c r="Z17" s="63"/>
      <c r="AA17" s="64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23"/>
      <c r="BG17" s="1" t="s">
        <v>19</v>
      </c>
    </row>
    <row r="18" spans="1:59" x14ac:dyDescent="0.2">
      <c r="A18" s="5"/>
      <c r="B18" s="2"/>
      <c r="C18" s="3"/>
      <c r="D18" s="3"/>
      <c r="E18" s="3"/>
      <c r="F18" s="3"/>
      <c r="G18" s="3"/>
      <c r="H18" s="62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4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9"/>
      <c r="AU18" s="9"/>
      <c r="AV18" s="9"/>
      <c r="AW18" s="9"/>
      <c r="AX18" s="9"/>
      <c r="AY18" s="9"/>
      <c r="AZ18" s="9"/>
      <c r="BA18" s="9"/>
      <c r="BB18" s="9"/>
      <c r="BC18" s="23"/>
      <c r="BG18" s="4" t="s">
        <v>2</v>
      </c>
    </row>
    <row r="19" spans="1:59" x14ac:dyDescent="0.2">
      <c r="A19" s="5"/>
      <c r="B19" s="2"/>
      <c r="D19" s="71">
        <f>9*AO6*(I46+N46+AH8*4)/(N46+AH8*4)-D30-D28-D25-D22-D36-D41-D33-D38</f>
        <v>39.687595798702503</v>
      </c>
      <c r="E19" s="71"/>
      <c r="F19" s="3" t="s">
        <v>0</v>
      </c>
      <c r="G19" s="3"/>
      <c r="H19" s="62"/>
      <c r="I19" s="63"/>
      <c r="J19" s="63"/>
      <c r="K19" s="63"/>
      <c r="L19" s="63"/>
      <c r="M19" s="84">
        <f>+Q44/2</f>
        <v>12.5</v>
      </c>
      <c r="N19" s="84"/>
      <c r="O19" s="63"/>
      <c r="P19" s="63"/>
      <c r="Q19" s="53"/>
      <c r="R19" s="54"/>
      <c r="S19" s="87">
        <f>((N46*COS((AO6*360/(2*PI()*N46))*PI()/180))-M19)*Q16/((N46*SIN((AO6*360/(2*PI()*N46))*PI()/180))-Q16)</f>
        <v>28.134650327358091</v>
      </c>
      <c r="T19" s="88"/>
      <c r="U19" s="84" t="s">
        <v>0</v>
      </c>
      <c r="V19" s="63"/>
      <c r="W19" s="63"/>
      <c r="X19" s="63"/>
      <c r="Y19" s="63"/>
      <c r="Z19" s="63"/>
      <c r="AA19" s="64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9"/>
      <c r="AU19" s="9"/>
      <c r="AV19" s="9"/>
      <c r="AW19" s="9"/>
      <c r="AX19" s="9"/>
      <c r="AY19" s="9"/>
      <c r="AZ19" s="9"/>
      <c r="BA19" s="9"/>
      <c r="BB19" s="9"/>
      <c r="BC19" s="23"/>
    </row>
    <row r="20" spans="1:59" x14ac:dyDescent="0.2">
      <c r="A20" s="5"/>
      <c r="B20" s="2"/>
      <c r="D20" s="3"/>
      <c r="E20" s="3"/>
      <c r="F20" s="3"/>
      <c r="G20" s="3"/>
      <c r="H20" s="62"/>
      <c r="I20" s="63"/>
      <c r="J20" s="63">
        <v>9</v>
      </c>
      <c r="K20" s="63"/>
      <c r="L20" s="63"/>
      <c r="M20" s="63"/>
      <c r="N20" s="63"/>
      <c r="O20" s="63"/>
      <c r="P20" s="63"/>
      <c r="Q20" s="55"/>
      <c r="R20" s="56"/>
      <c r="S20" s="87"/>
      <c r="T20" s="88"/>
      <c r="U20" s="84"/>
      <c r="V20" s="63"/>
      <c r="W20" s="63"/>
      <c r="X20" s="63"/>
      <c r="Y20" s="63">
        <v>18</v>
      </c>
      <c r="Z20" s="63"/>
      <c r="AA20" s="64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9"/>
      <c r="AU20" s="9"/>
      <c r="AV20" s="9"/>
      <c r="AW20" s="9"/>
      <c r="AX20" s="9"/>
      <c r="AY20" s="9"/>
      <c r="AZ20" s="9"/>
      <c r="BA20" s="9"/>
      <c r="BB20" s="9"/>
      <c r="BC20" s="23"/>
      <c r="BG20" s="1" t="s">
        <v>20</v>
      </c>
    </row>
    <row r="21" spans="1:59" x14ac:dyDescent="0.2">
      <c r="A21" s="5"/>
      <c r="B21" s="2"/>
      <c r="D21" s="3"/>
      <c r="E21" s="3"/>
      <c r="F21" s="3"/>
      <c r="G21" s="3"/>
      <c r="H21" s="62"/>
      <c r="I21" s="63"/>
      <c r="J21" s="63"/>
      <c r="K21" s="63"/>
      <c r="L21" s="63"/>
      <c r="M21" s="63"/>
      <c r="N21" s="63"/>
      <c r="O21" s="63"/>
      <c r="P21" s="63"/>
      <c r="Q21" s="55"/>
      <c r="R21" s="56"/>
      <c r="S21" s="83">
        <f>(N46*SIN((2*AO6*360/(2*PI()*N46))*PI()/180))*((N46*COS((2*AO6*360/(2*PI()*N46))*PI()/180))+AC29)/((N46*SIN((2*AO6*360/(2*PI()*N46))*PI()/180))+2*AH8)-(N46*COS((2*AO6*360/(2*PI()*N46))*PI()/180))+M19-S19</f>
        <v>8.0740730972508281</v>
      </c>
      <c r="T21" s="84"/>
      <c r="U21" s="63" t="s">
        <v>0</v>
      </c>
      <c r="V21" s="63"/>
      <c r="W21" s="63"/>
      <c r="X21" s="63"/>
      <c r="Y21" s="63"/>
      <c r="Z21" s="63"/>
      <c r="AA21" s="64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9"/>
      <c r="AU21" s="9"/>
      <c r="AV21" s="9"/>
      <c r="AW21" s="9"/>
      <c r="AX21" s="9"/>
      <c r="AY21" s="9"/>
      <c r="AZ21" s="9"/>
      <c r="BA21" s="9"/>
      <c r="BB21" s="9"/>
      <c r="BC21" s="23"/>
    </row>
    <row r="22" spans="1:59" x14ac:dyDescent="0.2">
      <c r="A22" s="5"/>
      <c r="B22" s="2"/>
      <c r="D22" s="71">
        <f>8*AO6*(I46+N46+AH8*5)/(N46+AH8*5)-D30-D28-D25-D36-D41-D33-D38</f>
        <v>36.831191459661298</v>
      </c>
      <c r="E22" s="71"/>
      <c r="F22" s="3" t="s">
        <v>0</v>
      </c>
      <c r="G22" s="3"/>
      <c r="H22" s="62"/>
      <c r="I22" s="63"/>
      <c r="J22" s="63"/>
      <c r="K22" s="63"/>
      <c r="L22" s="63"/>
      <c r="M22" s="63"/>
      <c r="N22" s="63"/>
      <c r="O22" s="63"/>
      <c r="P22" s="63"/>
      <c r="Q22" s="55"/>
      <c r="R22" s="56"/>
      <c r="S22" s="83">
        <f>(N46*SIN((3*AO6*360/(2*PI()*N46))*PI()/180))*((N46*COS((3*AO6*360/(2*PI()*N46))*PI()/180))+AC29)/((N46*SIN((3*AO6*360/(2*PI()*N46))*PI()/180))+3*AH8)-(N46*COS((3*AO6*360/(2*PI()*N46))*PI()/180))-S21+M19-S19</f>
        <v>12.173452870463773</v>
      </c>
      <c r="T22" s="84"/>
      <c r="U22" s="63" t="s">
        <v>0</v>
      </c>
      <c r="V22" s="63"/>
      <c r="W22" s="63"/>
      <c r="X22" s="63"/>
      <c r="Y22" s="63"/>
      <c r="Z22" s="63"/>
      <c r="AA22" s="64"/>
      <c r="AB22" s="3"/>
      <c r="AC22" s="3"/>
      <c r="AD22" s="3"/>
      <c r="AF22" s="3"/>
      <c r="AG22" s="3"/>
      <c r="AH22" s="3"/>
      <c r="AI22" s="3"/>
      <c r="AJ22" s="3"/>
      <c r="AK22" s="3"/>
      <c r="AM22" s="3"/>
      <c r="AN22" s="3"/>
      <c r="AO22" s="3"/>
      <c r="AP22" s="3"/>
      <c r="AQ22" s="3"/>
      <c r="AR22" s="3"/>
      <c r="AS22" s="3"/>
      <c r="AT22" s="9"/>
      <c r="AU22" s="9"/>
      <c r="AV22" s="9"/>
      <c r="AW22" s="9"/>
      <c r="AX22" s="9"/>
      <c r="AY22" s="9"/>
      <c r="AZ22" s="9"/>
      <c r="BA22" s="9"/>
      <c r="BB22" s="9"/>
      <c r="BC22" s="23"/>
    </row>
    <row r="23" spans="1:59" x14ac:dyDescent="0.2">
      <c r="A23" s="5"/>
      <c r="B23" s="2"/>
      <c r="C23" s="79" t="s">
        <v>0</v>
      </c>
      <c r="G23" s="3"/>
      <c r="H23" s="62"/>
      <c r="I23" s="63"/>
      <c r="J23" s="63">
        <v>8</v>
      </c>
      <c r="K23" s="63"/>
      <c r="L23" s="63"/>
      <c r="M23" s="63"/>
      <c r="N23" s="63"/>
      <c r="O23" s="63"/>
      <c r="P23" s="63"/>
      <c r="Q23" s="55"/>
      <c r="R23" s="56"/>
      <c r="S23" s="83">
        <f>+AC29+M19-S19-S21-S22-S24-S26-S28-S30-S32-S34-S36-S39-S41</f>
        <v>14.438704097695677</v>
      </c>
      <c r="T23" s="84"/>
      <c r="U23" s="63" t="s">
        <v>0</v>
      </c>
      <c r="V23" s="63"/>
      <c r="W23" s="63"/>
      <c r="X23" s="63"/>
      <c r="Y23" s="63">
        <v>19</v>
      </c>
      <c r="Z23" s="63"/>
      <c r="AA23" s="64"/>
      <c r="AB23" s="3"/>
      <c r="AD23" s="3"/>
      <c r="AF23" s="3"/>
      <c r="AH23" s="3"/>
      <c r="AI23" s="3"/>
      <c r="AJ23" s="3"/>
      <c r="AK23" s="3"/>
      <c r="AM23" s="3"/>
      <c r="AN23" s="3"/>
      <c r="AO23" s="3"/>
      <c r="AP23" s="3"/>
      <c r="AQ23" s="3"/>
      <c r="AR23" s="3"/>
      <c r="AS23" s="3"/>
      <c r="AT23" s="9"/>
      <c r="AU23" s="9"/>
      <c r="AV23" s="9"/>
      <c r="AW23" s="9"/>
      <c r="AX23" s="9"/>
      <c r="AY23" s="9"/>
      <c r="AZ23" s="9"/>
      <c r="BA23" s="9"/>
      <c r="BB23" s="9"/>
      <c r="BC23" s="23"/>
    </row>
    <row r="24" spans="1:59" x14ac:dyDescent="0.2">
      <c r="A24" s="5"/>
      <c r="B24" s="2"/>
      <c r="C24" s="79"/>
      <c r="D24" s="3"/>
      <c r="E24" s="3"/>
      <c r="F24" s="3"/>
      <c r="G24" s="3"/>
      <c r="H24" s="62"/>
      <c r="I24" s="63"/>
      <c r="J24" s="63"/>
      <c r="K24" s="63"/>
      <c r="L24" s="63"/>
      <c r="M24" s="63"/>
      <c r="N24" s="63"/>
      <c r="O24" s="63"/>
      <c r="P24" s="63"/>
      <c r="Q24" s="55"/>
      <c r="R24" s="56"/>
      <c r="S24" s="83">
        <f>9*AO6-((D30+D28+D25+D22+D19+D36+D41+D33+D38)-9*AO6)*N46/I46-S32-S30-S28-S26-S34-S36-S39-S41</f>
        <v>18.294155076567847</v>
      </c>
      <c r="T24" s="84"/>
      <c r="U24" s="84" t="s">
        <v>0</v>
      </c>
      <c r="V24" s="63"/>
      <c r="W24" s="63"/>
      <c r="X24" s="63"/>
      <c r="Y24" s="63"/>
      <c r="Z24" s="63"/>
      <c r="AA24" s="64"/>
      <c r="AB24" s="3"/>
      <c r="AF24" s="3"/>
      <c r="AM24" s="3"/>
      <c r="AN24" s="3"/>
      <c r="AO24" s="3"/>
      <c r="AP24" s="3"/>
      <c r="AQ24" s="3"/>
      <c r="AR24" s="3"/>
      <c r="AS24" s="3"/>
      <c r="AT24" s="9"/>
      <c r="AU24" s="9"/>
      <c r="AV24" s="9"/>
      <c r="AW24" s="9"/>
      <c r="AX24" s="9"/>
      <c r="AY24" s="9"/>
      <c r="AZ24" s="9"/>
      <c r="BA24" s="9"/>
      <c r="BB24" s="9"/>
      <c r="BC24" s="23"/>
    </row>
    <row r="25" spans="1:59" x14ac:dyDescent="0.2">
      <c r="A25" s="5"/>
      <c r="B25" s="2"/>
      <c r="C25" s="79">
        <f>+AC14+AC29</f>
        <v>408.61726630737002</v>
      </c>
      <c r="D25" s="71">
        <f>7*AO6*(I46+N46+AH8*6)/(N46+AH8*6)-D30-D28-D36-D41-D33-D38</f>
        <v>35.075793873093247</v>
      </c>
      <c r="E25" s="71"/>
      <c r="F25" s="3" t="s">
        <v>0</v>
      </c>
      <c r="G25" s="3"/>
      <c r="H25" s="62"/>
      <c r="I25" s="63"/>
      <c r="J25" s="63"/>
      <c r="K25" s="63"/>
      <c r="L25" s="63"/>
      <c r="M25" s="63"/>
      <c r="N25" s="63"/>
      <c r="O25" s="63"/>
      <c r="P25" s="63"/>
      <c r="Q25" s="55"/>
      <c r="R25" s="56"/>
      <c r="S25" s="83"/>
      <c r="T25" s="84"/>
      <c r="U25" s="84"/>
      <c r="V25" s="63"/>
      <c r="W25" s="63"/>
      <c r="X25" s="63"/>
      <c r="Y25" s="63"/>
      <c r="Z25" s="63"/>
      <c r="AA25" s="64"/>
      <c r="AB25" s="3"/>
      <c r="AF25" s="3"/>
      <c r="AM25" s="3"/>
      <c r="AN25" s="3"/>
      <c r="AO25" s="3"/>
      <c r="AP25" s="3"/>
      <c r="AQ25" s="3"/>
      <c r="AR25" s="3"/>
      <c r="AS25" s="3"/>
      <c r="AT25" s="9"/>
      <c r="AU25" s="9"/>
      <c r="AV25" s="9"/>
      <c r="AW25" s="9"/>
      <c r="AX25" s="9"/>
      <c r="AY25" s="9"/>
      <c r="AZ25" s="9"/>
      <c r="BA25" s="9"/>
      <c r="BB25" s="9"/>
      <c r="BC25" s="23"/>
    </row>
    <row r="26" spans="1:59" x14ac:dyDescent="0.2">
      <c r="A26" s="5"/>
      <c r="B26" s="2"/>
      <c r="C26" s="79"/>
      <c r="G26" s="3"/>
      <c r="H26" s="62"/>
      <c r="I26" s="63"/>
      <c r="J26" s="63">
        <v>7</v>
      </c>
      <c r="K26" s="63"/>
      <c r="L26" s="63"/>
      <c r="M26" s="63"/>
      <c r="N26" s="63"/>
      <c r="O26" s="63"/>
      <c r="P26" s="63"/>
      <c r="Q26" s="55"/>
      <c r="R26" s="56"/>
      <c r="S26" s="83">
        <f>8*AO6-((D30+D28+D25+D22+D36+D41+D33+D38)-8*AO6)*N46/I46-S32-S30-S28-S34-S36-S39-S41</f>
        <v>21.745643652909251</v>
      </c>
      <c r="T26" s="84"/>
      <c r="U26" s="84" t="s">
        <v>0</v>
      </c>
      <c r="V26" s="63"/>
      <c r="W26" s="63"/>
      <c r="X26" s="63"/>
      <c r="Y26" s="63">
        <v>20</v>
      </c>
      <c r="Z26" s="63"/>
      <c r="AA26" s="64"/>
      <c r="AB26" s="3"/>
      <c r="AF26" s="3"/>
      <c r="AL26" s="3"/>
      <c r="AM26" s="3"/>
      <c r="AN26" s="3"/>
      <c r="AO26" s="3"/>
      <c r="AP26" s="3"/>
      <c r="AQ26" s="3"/>
      <c r="AR26" s="3"/>
      <c r="AS26" s="3"/>
      <c r="AT26" s="9"/>
      <c r="AU26" s="9"/>
      <c r="AV26" s="9"/>
      <c r="AW26" s="9"/>
      <c r="AX26" s="9"/>
      <c r="AY26" s="9"/>
      <c r="AZ26" s="9"/>
      <c r="BA26" s="9"/>
      <c r="BB26" s="9"/>
      <c r="BC26" s="23"/>
    </row>
    <row r="27" spans="1:59" x14ac:dyDescent="0.2">
      <c r="A27" s="5"/>
      <c r="B27" s="2"/>
      <c r="C27" s="79"/>
      <c r="D27" s="3"/>
      <c r="E27" s="3"/>
      <c r="F27" s="3"/>
      <c r="G27" s="3"/>
      <c r="H27" s="62"/>
      <c r="I27" s="63"/>
      <c r="J27" s="63"/>
      <c r="K27" s="63"/>
      <c r="L27" s="63"/>
      <c r="M27" s="63"/>
      <c r="N27" s="63"/>
      <c r="O27" s="63"/>
      <c r="P27" s="63"/>
      <c r="Q27" s="55"/>
      <c r="R27" s="56"/>
      <c r="S27" s="83"/>
      <c r="T27" s="84"/>
      <c r="U27" s="84"/>
      <c r="V27" s="63"/>
      <c r="W27" s="63"/>
      <c r="X27" s="63"/>
      <c r="Y27" s="63"/>
      <c r="Z27" s="63"/>
      <c r="AA27" s="64"/>
      <c r="AB27" s="3"/>
      <c r="AC27" s="79" t="s">
        <v>0</v>
      </c>
      <c r="AD27" s="3"/>
      <c r="AE27" s="79" t="s">
        <v>0</v>
      </c>
      <c r="AF27" s="3"/>
      <c r="AL27" s="3"/>
      <c r="AM27" s="3"/>
      <c r="AN27" s="3"/>
      <c r="AO27" s="3"/>
      <c r="AP27" s="3"/>
      <c r="AQ27" s="3"/>
      <c r="AR27" s="3"/>
      <c r="AS27" s="3"/>
      <c r="AT27" s="9"/>
      <c r="AU27" s="9"/>
      <c r="AV27" s="9"/>
      <c r="AW27" s="9"/>
      <c r="AX27" s="9"/>
      <c r="AY27" s="9"/>
      <c r="AZ27" s="9"/>
      <c r="BA27" s="9"/>
      <c r="BB27" s="9"/>
      <c r="BC27" s="23"/>
    </row>
    <row r="28" spans="1:59" x14ac:dyDescent="0.2">
      <c r="A28" s="5"/>
      <c r="B28" s="2"/>
      <c r="C28" s="3"/>
      <c r="D28" s="71">
        <f>6*AO6*(I46+N46+AH8*7)/(N46+AH8*7)-D30-D36-D41-D33-D38</f>
        <v>33.919980776475271</v>
      </c>
      <c r="E28" s="71"/>
      <c r="F28" s="3" t="s">
        <v>0</v>
      </c>
      <c r="G28" s="3"/>
      <c r="H28" s="62"/>
      <c r="I28" s="63"/>
      <c r="J28" s="63">
        <v>6</v>
      </c>
      <c r="K28" s="63"/>
      <c r="L28" s="63"/>
      <c r="M28" s="63"/>
      <c r="N28" s="63"/>
      <c r="O28" s="63"/>
      <c r="P28" s="63"/>
      <c r="Q28" s="55"/>
      <c r="R28" s="56"/>
      <c r="S28" s="83">
        <f>7*AO6-((D30+D28+D25+D36+D41+D33+D38)-7*AO6)*N46/I46-S32-S30-S34-S36-S39-S41</f>
        <v>23.866749070012332</v>
      </c>
      <c r="T28" s="84"/>
      <c r="U28" s="63" t="s">
        <v>0</v>
      </c>
      <c r="V28" s="63"/>
      <c r="W28" s="63"/>
      <c r="X28" s="63"/>
      <c r="Y28" s="63">
        <v>21</v>
      </c>
      <c r="Z28" s="63"/>
      <c r="AA28" s="64"/>
      <c r="AB28" s="3"/>
      <c r="AC28" s="79"/>
      <c r="AD28" s="3"/>
      <c r="AE28" s="79"/>
      <c r="AF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5"/>
    </row>
    <row r="29" spans="1:59" x14ac:dyDescent="0.2">
      <c r="A29" s="5"/>
      <c r="B29" s="2"/>
      <c r="C29" s="3"/>
      <c r="G29" s="3"/>
      <c r="H29" s="62"/>
      <c r="I29" s="63"/>
      <c r="J29" s="63"/>
      <c r="K29" s="63"/>
      <c r="L29" s="63"/>
      <c r="M29" s="63"/>
      <c r="N29" s="63"/>
      <c r="O29" s="63"/>
      <c r="P29" s="63"/>
      <c r="Q29" s="55"/>
      <c r="R29" s="56"/>
      <c r="S29" s="65"/>
      <c r="T29" s="63"/>
      <c r="U29" s="63"/>
      <c r="V29" s="63"/>
      <c r="W29" s="63"/>
      <c r="X29" s="63"/>
      <c r="Y29" s="63"/>
      <c r="Z29" s="63"/>
      <c r="AA29" s="64"/>
      <c r="AB29" s="3"/>
      <c r="AC29" s="79">
        <f>(13*AO6)-(2*PI()*N46*90/360)</f>
        <v>276.11726630737002</v>
      </c>
      <c r="AD29" s="3"/>
      <c r="AE29" s="79">
        <f>+AC29+M19</f>
        <v>288.61726630737002</v>
      </c>
      <c r="AF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5"/>
    </row>
    <row r="30" spans="1:59" x14ac:dyDescent="0.2">
      <c r="A30" s="5"/>
      <c r="B30" s="2"/>
      <c r="C30" s="3"/>
      <c r="D30" s="71">
        <f>5*AO6*(I46+N46+AH8*8)/(N46+AH8*8)-D36-D41-D33-D38</f>
        <v>33.118600303114889</v>
      </c>
      <c r="E30" s="71"/>
      <c r="F30" s="3" t="s">
        <v>0</v>
      </c>
      <c r="G30" s="3"/>
      <c r="H30" s="62"/>
      <c r="I30" s="63"/>
      <c r="J30" s="63"/>
      <c r="K30" s="63"/>
      <c r="L30" s="63"/>
      <c r="M30" s="63"/>
      <c r="N30" s="63"/>
      <c r="O30" s="63"/>
      <c r="P30" s="63"/>
      <c r="Q30" s="55"/>
      <c r="R30" s="56"/>
      <c r="S30" s="83">
        <f>6*AO6-((D30+D28+D36+D41+D33+D38)-6*AO6)*N46/I46-S32-S34-S36-S39-S41</f>
        <v>25.263356561758997</v>
      </c>
      <c r="T30" s="84"/>
      <c r="U30" s="63" t="s">
        <v>0</v>
      </c>
      <c r="V30" s="63"/>
      <c r="W30" s="63"/>
      <c r="X30" s="63"/>
      <c r="Y30" s="63"/>
      <c r="Z30" s="63"/>
      <c r="AA30" s="64"/>
      <c r="AB30" s="3"/>
      <c r="AC30" s="79"/>
      <c r="AD30" s="3"/>
      <c r="AE30" s="79"/>
      <c r="AF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5"/>
    </row>
    <row r="31" spans="1:59" x14ac:dyDescent="0.2">
      <c r="A31" s="5"/>
      <c r="B31" s="2"/>
      <c r="C31" s="3"/>
      <c r="G31" s="3"/>
      <c r="H31" s="62"/>
      <c r="I31" s="63"/>
      <c r="J31" s="63">
        <v>5</v>
      </c>
      <c r="K31" s="63"/>
      <c r="L31" s="63"/>
      <c r="M31" s="63"/>
      <c r="N31" s="63"/>
      <c r="O31" s="63"/>
      <c r="P31" s="63"/>
      <c r="Q31" s="55"/>
      <c r="R31" s="56"/>
      <c r="S31" s="65"/>
      <c r="T31" s="63"/>
      <c r="U31" s="63"/>
      <c r="V31" s="63"/>
      <c r="W31" s="63"/>
      <c r="X31" s="63"/>
      <c r="Y31" s="63">
        <v>22</v>
      </c>
      <c r="Z31" s="63"/>
      <c r="AA31" s="64"/>
      <c r="AB31" s="3"/>
      <c r="AC31" s="79"/>
      <c r="AD31" s="3"/>
      <c r="AE31" s="79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5"/>
    </row>
    <row r="32" spans="1:59" x14ac:dyDescent="0.2">
      <c r="A32" s="5"/>
      <c r="B32" s="2"/>
      <c r="H32" s="62"/>
      <c r="I32" s="63"/>
      <c r="J32" s="63"/>
      <c r="K32" s="63"/>
      <c r="L32" s="63"/>
      <c r="M32" s="63"/>
      <c r="N32" s="63"/>
      <c r="O32" s="63"/>
      <c r="P32" s="63"/>
      <c r="Q32" s="55"/>
      <c r="R32" s="56"/>
      <c r="S32" s="83">
        <f>5*AO6-((D30+D36+D41+D33+D38)-5*AO6)*N46/I46-S34-S36-S39-S41</f>
        <v>26.231691300402872</v>
      </c>
      <c r="T32" s="84"/>
      <c r="U32" s="63" t="s">
        <v>0</v>
      </c>
      <c r="V32" s="63"/>
      <c r="W32" s="63"/>
      <c r="X32" s="63"/>
      <c r="Y32" s="63"/>
      <c r="Z32" s="63"/>
      <c r="AA32" s="64"/>
      <c r="AH32" s="3"/>
      <c r="AI32" s="3"/>
      <c r="AM32" s="3"/>
      <c r="AN32" s="3"/>
      <c r="AO32" s="3"/>
      <c r="AP32" s="3"/>
      <c r="AQ32" s="3"/>
      <c r="AR32" s="3"/>
      <c r="AS32" s="3"/>
      <c r="AV32" s="3"/>
      <c r="AW32" s="3"/>
      <c r="AX32" s="3"/>
      <c r="AY32" s="3"/>
      <c r="AZ32" s="3"/>
      <c r="BA32" s="3"/>
      <c r="BB32" s="3"/>
      <c r="BC32" s="5"/>
    </row>
    <row r="33" spans="1:55" x14ac:dyDescent="0.2">
      <c r="A33" s="5"/>
      <c r="B33" s="2"/>
      <c r="D33" s="71">
        <f>4*AO6*(I46+N46+AH8*9)/(N46+AH8*9)-D36-D41-D38</f>
        <v>32.540175012338878</v>
      </c>
      <c r="E33" s="71"/>
      <c r="F33" s="71" t="s">
        <v>0</v>
      </c>
      <c r="H33" s="62"/>
      <c r="I33" s="63"/>
      <c r="J33" s="63"/>
      <c r="K33" s="63"/>
      <c r="L33" s="63"/>
      <c r="M33" s="63"/>
      <c r="N33" s="63"/>
      <c r="O33" s="63"/>
      <c r="P33" s="63"/>
      <c r="Q33" s="55"/>
      <c r="R33" s="56"/>
      <c r="S33" s="65"/>
      <c r="T33" s="65"/>
      <c r="U33" s="65"/>
      <c r="V33" s="63"/>
      <c r="W33" s="63"/>
      <c r="X33" s="63"/>
      <c r="Y33" s="63"/>
      <c r="Z33" s="63"/>
      <c r="AA33" s="64"/>
      <c r="AH33" s="3"/>
      <c r="AI33" s="3"/>
      <c r="AM33" s="3"/>
      <c r="AN33" s="3"/>
      <c r="AO33" s="3"/>
      <c r="AP33" s="3"/>
      <c r="AQ33" s="3"/>
      <c r="AR33" s="3"/>
      <c r="AS33" s="3"/>
      <c r="AV33" s="3"/>
      <c r="AW33" s="3"/>
      <c r="AX33" s="3"/>
      <c r="AY33" s="3"/>
      <c r="AZ33" s="3"/>
      <c r="BA33" s="3"/>
      <c r="BB33" s="3"/>
      <c r="BC33" s="5"/>
    </row>
    <row r="34" spans="1:55" x14ac:dyDescent="0.2">
      <c r="A34" s="5"/>
      <c r="B34" s="2"/>
      <c r="C34" s="3"/>
      <c r="D34" s="71"/>
      <c r="E34" s="71"/>
      <c r="F34" s="71"/>
      <c r="G34" s="3"/>
      <c r="H34" s="62"/>
      <c r="I34" s="63"/>
      <c r="J34" s="63">
        <v>4</v>
      </c>
      <c r="K34" s="63"/>
      <c r="L34" s="63"/>
      <c r="M34" s="63"/>
      <c r="N34" s="63"/>
      <c r="O34" s="63"/>
      <c r="P34" s="63"/>
      <c r="Q34" s="55"/>
      <c r="R34" s="56"/>
      <c r="S34" s="83">
        <f>4*AO6-((D36+D41+D33+D38)-4*AO6)*N46/I46-S39-S36-S41</f>
        <v>26.930621860090518</v>
      </c>
      <c r="T34" s="84"/>
      <c r="U34" s="84" t="s">
        <v>0</v>
      </c>
      <c r="V34" s="63"/>
      <c r="W34" s="63"/>
      <c r="X34" s="63"/>
      <c r="Y34" s="63">
        <v>23</v>
      </c>
      <c r="Z34" s="63"/>
      <c r="AA34" s="64"/>
      <c r="AB34" s="3"/>
      <c r="AC34" s="3"/>
      <c r="AD34" s="3"/>
      <c r="AE34" s="3"/>
      <c r="AF34" s="3"/>
      <c r="AG34" s="3"/>
      <c r="AH34" s="3"/>
      <c r="AI34" s="3"/>
      <c r="AP34" s="3"/>
      <c r="AQ34" s="3"/>
      <c r="AR34" s="3"/>
      <c r="AS34" s="3"/>
      <c r="AV34" s="3"/>
      <c r="AW34" s="3"/>
      <c r="AX34" s="3"/>
      <c r="AY34" s="3"/>
      <c r="AZ34" s="3"/>
      <c r="BA34" s="3"/>
      <c r="BB34" s="3"/>
      <c r="BC34" s="5"/>
    </row>
    <row r="35" spans="1:55" x14ac:dyDescent="0.2">
      <c r="A35" s="5"/>
      <c r="B35" s="2"/>
      <c r="H35" s="62"/>
      <c r="I35" s="63"/>
      <c r="J35" s="63"/>
      <c r="K35" s="63"/>
      <c r="L35" s="63"/>
      <c r="M35" s="63"/>
      <c r="N35" s="63"/>
      <c r="O35" s="63"/>
      <c r="P35" s="63"/>
      <c r="Q35" s="55"/>
      <c r="R35" s="56"/>
      <c r="S35" s="83"/>
      <c r="T35" s="84"/>
      <c r="U35" s="84"/>
      <c r="V35" s="63"/>
      <c r="W35" s="63"/>
      <c r="X35" s="63"/>
      <c r="Y35" s="63"/>
      <c r="Z35" s="63"/>
      <c r="AA35" s="64"/>
      <c r="AH35" s="3"/>
      <c r="AI35" s="3"/>
      <c r="AM35" s="3"/>
      <c r="AN35" s="3"/>
      <c r="AO35" s="3"/>
      <c r="AP35" s="3"/>
      <c r="AQ35" s="3"/>
      <c r="AR35" s="3"/>
      <c r="AS35" s="3"/>
      <c r="AV35" s="3"/>
      <c r="AW35" s="3"/>
      <c r="AX35" s="3"/>
      <c r="AY35" s="3"/>
      <c r="AZ35" s="3"/>
      <c r="BA35" s="3"/>
      <c r="BB35" s="3"/>
      <c r="BC35" s="5"/>
    </row>
    <row r="36" spans="1:55" x14ac:dyDescent="0.2">
      <c r="A36" s="5"/>
      <c r="B36" s="2"/>
      <c r="C36" s="3"/>
      <c r="D36" s="71">
        <f>3*AO6*(I46+N46+AH8*10)/(N46+AH8*10)-D41-D38</f>
        <v>32.109018287384373</v>
      </c>
      <c r="E36" s="71"/>
      <c r="F36" s="3" t="s">
        <v>0</v>
      </c>
      <c r="G36" s="3"/>
      <c r="H36" s="62"/>
      <c r="I36" s="63"/>
      <c r="J36" s="63">
        <v>3</v>
      </c>
      <c r="K36" s="63"/>
      <c r="L36" s="63"/>
      <c r="M36" s="63"/>
      <c r="N36" s="63"/>
      <c r="O36" s="63"/>
      <c r="P36" s="63"/>
      <c r="Q36" s="55"/>
      <c r="R36" s="56"/>
      <c r="S36" s="83">
        <f>3*AO6-((D36+D41+D38)-3*AO6)*N46/I46-S39-S41</f>
        <v>27.451602902743886</v>
      </c>
      <c r="T36" s="84"/>
      <c r="U36" s="84" t="s">
        <v>0</v>
      </c>
      <c r="V36" s="63"/>
      <c r="W36" s="63"/>
      <c r="X36" s="63"/>
      <c r="Y36" s="63">
        <v>24</v>
      </c>
      <c r="Z36" s="63"/>
      <c r="AA36" s="64"/>
      <c r="AB36" s="3"/>
      <c r="AC36" s="3"/>
      <c r="AD36" s="3"/>
      <c r="AE36" s="3"/>
      <c r="AF36" s="3"/>
      <c r="AG36" s="3"/>
      <c r="AH36" s="3"/>
      <c r="AI36" s="3"/>
      <c r="AM36" s="3"/>
      <c r="AN36" s="3"/>
      <c r="AO36" s="3"/>
      <c r="AP36" s="3"/>
      <c r="AQ36" s="3"/>
      <c r="AR36" s="3"/>
      <c r="AS36" s="3"/>
      <c r="AV36" s="3"/>
      <c r="AW36" s="3"/>
      <c r="AX36" s="3"/>
      <c r="AY36" s="3"/>
      <c r="AZ36" s="3"/>
      <c r="BA36" s="3"/>
      <c r="BB36" s="3"/>
      <c r="BC36" s="5"/>
    </row>
    <row r="37" spans="1:55" x14ac:dyDescent="0.2">
      <c r="A37" s="5"/>
      <c r="B37" s="2"/>
      <c r="C37" s="3"/>
      <c r="D37" s="3"/>
      <c r="E37" s="3"/>
      <c r="F37" s="3"/>
      <c r="G37" s="3"/>
      <c r="H37" s="62"/>
      <c r="I37" s="63"/>
      <c r="J37" s="63"/>
      <c r="K37" s="63"/>
      <c r="L37" s="63"/>
      <c r="M37" s="63"/>
      <c r="N37" s="63"/>
      <c r="O37" s="63"/>
      <c r="P37" s="63"/>
      <c r="Q37" s="55"/>
      <c r="R37" s="56"/>
      <c r="S37" s="83"/>
      <c r="T37" s="84"/>
      <c r="U37" s="84"/>
      <c r="V37" s="63"/>
      <c r="W37" s="63"/>
      <c r="X37" s="63"/>
      <c r="Y37" s="63"/>
      <c r="Z37" s="63"/>
      <c r="AA37" s="64"/>
      <c r="AB37" s="3"/>
      <c r="AC37" s="3"/>
      <c r="AD37" s="3"/>
      <c r="AE37" s="3"/>
      <c r="AF37" s="3"/>
      <c r="AG37" s="3"/>
      <c r="AH37" s="3"/>
      <c r="AI37" s="3"/>
      <c r="AM37" s="3"/>
      <c r="AN37" s="3"/>
      <c r="AO37" s="3"/>
      <c r="AP37" s="3"/>
      <c r="AQ37" s="3"/>
      <c r="AR37" s="3"/>
      <c r="AS37" s="3"/>
      <c r="AV37" s="3"/>
      <c r="AW37" s="3"/>
      <c r="AX37" s="3"/>
      <c r="AY37" s="3"/>
      <c r="AZ37" s="3"/>
      <c r="BA37" s="3"/>
      <c r="BB37" s="3"/>
      <c r="BC37" s="5"/>
    </row>
    <row r="38" spans="1:55" x14ac:dyDescent="0.2">
      <c r="A38" s="5"/>
      <c r="B38" s="2"/>
      <c r="C38" s="3"/>
      <c r="D38" s="71">
        <f>2*AO6*(I46+N46+AH8*11)/(N46+AH8*11)-D41</f>
        <v>31.779047751570925</v>
      </c>
      <c r="E38" s="71"/>
      <c r="F38" s="3" t="s">
        <v>0</v>
      </c>
      <c r="G38" s="3"/>
      <c r="H38" s="62"/>
      <c r="I38" s="63"/>
      <c r="J38" s="63"/>
      <c r="K38" s="63"/>
      <c r="L38" s="63"/>
      <c r="M38" s="63"/>
      <c r="N38" s="63"/>
      <c r="O38" s="63"/>
      <c r="P38" s="63"/>
      <c r="Q38" s="55"/>
      <c r="R38" s="56"/>
      <c r="S38" s="63"/>
      <c r="T38" s="63"/>
      <c r="U38" s="63"/>
      <c r="V38" s="63"/>
      <c r="W38" s="63"/>
      <c r="X38" s="63"/>
      <c r="Y38" s="63"/>
      <c r="Z38" s="63"/>
      <c r="AA38" s="64"/>
      <c r="AB38" s="3"/>
      <c r="AC38" s="3"/>
      <c r="AD38" s="3"/>
      <c r="AE38" s="3"/>
      <c r="AF38" s="3"/>
      <c r="AG38" s="3"/>
      <c r="AH38" s="3"/>
      <c r="AI38" s="3"/>
      <c r="AM38" s="3"/>
      <c r="AN38" s="3"/>
      <c r="AO38" s="3"/>
      <c r="AP38" s="3"/>
      <c r="AQ38" s="3"/>
      <c r="AR38" s="3"/>
      <c r="AS38" s="3"/>
      <c r="AV38" s="3"/>
      <c r="AW38" s="3"/>
      <c r="AX38" s="3"/>
      <c r="AY38" s="3"/>
      <c r="AZ38" s="3"/>
      <c r="BA38" s="3"/>
      <c r="BB38" s="3"/>
      <c r="BC38" s="5"/>
    </row>
    <row r="39" spans="1:55" x14ac:dyDescent="0.2">
      <c r="A39" s="5"/>
      <c r="B39" s="2"/>
      <c r="C39" s="3"/>
      <c r="G39" s="3"/>
      <c r="H39" s="62"/>
      <c r="I39" s="63"/>
      <c r="J39" s="63">
        <v>2</v>
      </c>
      <c r="K39" s="63"/>
      <c r="L39" s="63"/>
      <c r="M39" s="63"/>
      <c r="N39" s="63"/>
      <c r="O39" s="63"/>
      <c r="P39" s="63"/>
      <c r="Q39" s="55"/>
      <c r="R39" s="56"/>
      <c r="S39" s="83">
        <f>2*AO6-((D38+D41)-2*AO6)*N46/I46-S41</f>
        <v>27.850317300185132</v>
      </c>
      <c r="T39" s="84"/>
      <c r="U39" s="63" t="s">
        <v>0</v>
      </c>
      <c r="V39" s="63"/>
      <c r="W39" s="63"/>
      <c r="X39" s="63"/>
      <c r="Y39" s="63">
        <v>25</v>
      </c>
      <c r="Z39" s="63"/>
      <c r="AA39" s="64"/>
      <c r="AB39" s="3"/>
      <c r="AC39" s="3"/>
      <c r="AD39" s="3"/>
      <c r="AE39" s="3"/>
      <c r="AF39" s="3"/>
      <c r="AG39" s="3"/>
      <c r="AH39" s="3"/>
      <c r="AI39" s="3"/>
      <c r="AM39" s="3"/>
      <c r="AN39" s="3"/>
      <c r="AO39" s="3"/>
      <c r="AP39" s="3"/>
      <c r="AQ39" s="3"/>
      <c r="AR39" s="3"/>
      <c r="AS39" s="3"/>
      <c r="AV39" s="3"/>
      <c r="AW39" s="3"/>
      <c r="AX39" s="3"/>
      <c r="AY39" s="3"/>
      <c r="AZ39" s="3"/>
      <c r="BA39" s="3"/>
      <c r="BB39" s="3"/>
      <c r="BC39" s="5"/>
    </row>
    <row r="40" spans="1:55" x14ac:dyDescent="0.2">
      <c r="A40" s="5"/>
      <c r="B40" s="2"/>
      <c r="C40" s="3"/>
      <c r="D40" s="3"/>
      <c r="E40" s="3"/>
      <c r="F40" s="3"/>
      <c r="G40" s="3"/>
      <c r="H40" s="62"/>
      <c r="I40" s="63"/>
      <c r="J40" s="63"/>
      <c r="K40" s="63"/>
      <c r="L40" s="63"/>
      <c r="M40" s="63"/>
      <c r="N40" s="63"/>
      <c r="O40" s="63"/>
      <c r="P40" s="63"/>
      <c r="Q40" s="55"/>
      <c r="R40" s="56"/>
      <c r="S40" s="62"/>
      <c r="T40" s="63"/>
      <c r="U40" s="63"/>
      <c r="V40" s="63"/>
      <c r="W40" s="63"/>
      <c r="X40" s="63"/>
      <c r="Y40" s="63"/>
      <c r="Z40" s="63"/>
      <c r="AA40" s="64"/>
      <c r="AB40" s="3"/>
      <c r="AC40" s="3"/>
      <c r="AD40" s="3"/>
      <c r="AE40" s="3"/>
      <c r="AF40" s="3"/>
      <c r="AG40" s="3"/>
      <c r="AH40" s="3"/>
      <c r="AI40" s="3"/>
      <c r="AM40" s="3"/>
      <c r="AN40" s="3"/>
      <c r="AO40" s="3"/>
      <c r="AP40" s="3"/>
      <c r="AQ40" s="3"/>
      <c r="AR40" s="3"/>
      <c r="AS40" s="3"/>
      <c r="AV40" s="3"/>
      <c r="AW40" s="3"/>
      <c r="AX40" s="3"/>
      <c r="AY40" s="3"/>
      <c r="AZ40" s="3"/>
      <c r="BA40" s="3"/>
      <c r="BB40" s="3"/>
      <c r="BC40" s="5"/>
    </row>
    <row r="41" spans="1:55" x14ac:dyDescent="0.2">
      <c r="A41" s="5"/>
      <c r="B41" s="2"/>
      <c r="C41" s="3"/>
      <c r="D41" s="71">
        <f>AO6*(I46+N46+AH8*12)/(N46+AH8*12)</f>
        <v>31.520898049712418</v>
      </c>
      <c r="E41" s="71"/>
      <c r="F41" s="3" t="s">
        <v>0</v>
      </c>
      <c r="G41" s="3"/>
      <c r="H41" s="31"/>
      <c r="I41" s="32"/>
      <c r="J41" s="32">
        <v>1</v>
      </c>
      <c r="K41" s="32"/>
      <c r="L41" s="32"/>
      <c r="M41" s="32"/>
      <c r="N41" s="32"/>
      <c r="O41" s="32"/>
      <c r="P41" s="32"/>
      <c r="Q41" s="8"/>
      <c r="R41" s="10"/>
      <c r="S41" s="83">
        <f>AO6-(D41-AO6)*N46/I46</f>
        <v>28.162248189930828</v>
      </c>
      <c r="T41" s="84"/>
      <c r="U41" s="63" t="s">
        <v>0</v>
      </c>
      <c r="V41" s="32"/>
      <c r="W41" s="32"/>
      <c r="X41" s="32"/>
      <c r="Y41" s="32">
        <v>26</v>
      </c>
      <c r="Z41" s="32"/>
      <c r="AA41" s="33"/>
      <c r="AB41" s="3"/>
      <c r="AC41" s="3"/>
      <c r="AD41" s="3"/>
      <c r="AE41" s="3"/>
      <c r="AF41" s="3"/>
      <c r="AG41" s="3"/>
      <c r="AH41" s="3"/>
      <c r="AI41" s="3"/>
      <c r="AM41" s="3"/>
      <c r="AN41" s="3"/>
      <c r="AO41" s="3"/>
      <c r="AP41" s="3"/>
      <c r="AQ41" s="3"/>
      <c r="AR41" s="3"/>
      <c r="AS41" s="3"/>
      <c r="AV41" s="3"/>
      <c r="AW41" s="3"/>
      <c r="AX41" s="3"/>
      <c r="AY41" s="3"/>
      <c r="AZ41" s="3"/>
      <c r="BA41" s="3"/>
      <c r="BB41" s="3"/>
      <c r="BC41" s="5"/>
    </row>
    <row r="42" spans="1:55" x14ac:dyDescent="0.2">
      <c r="A42" s="5"/>
      <c r="B42" s="2"/>
      <c r="C42" s="3"/>
      <c r="D42" s="3"/>
      <c r="E42" s="3"/>
      <c r="F42" s="3"/>
      <c r="G42" s="3"/>
      <c r="H42" s="35"/>
      <c r="I42" s="36"/>
      <c r="J42" s="36"/>
      <c r="K42" s="36"/>
      <c r="L42" s="36"/>
      <c r="M42" s="36"/>
      <c r="N42" s="36"/>
      <c r="O42" s="36"/>
      <c r="P42" s="36"/>
      <c r="Q42" s="11"/>
      <c r="R42" s="12"/>
      <c r="S42" s="36"/>
      <c r="T42" s="36"/>
      <c r="U42" s="36"/>
      <c r="V42" s="36"/>
      <c r="W42" s="36"/>
      <c r="X42" s="36"/>
      <c r="Y42" s="36"/>
      <c r="Z42" s="36"/>
      <c r="AA42" s="37"/>
      <c r="AB42" s="3"/>
      <c r="AC42" s="3"/>
      <c r="AD42" s="3"/>
      <c r="AE42" s="3"/>
      <c r="AF42" s="3"/>
      <c r="AG42" s="3"/>
      <c r="AH42" s="3"/>
      <c r="AI42" s="3"/>
      <c r="AM42" s="3"/>
      <c r="AN42" s="3"/>
      <c r="AO42" s="3"/>
      <c r="AP42" s="3"/>
      <c r="AQ42" s="3"/>
      <c r="AR42" s="3"/>
      <c r="AS42" s="3"/>
      <c r="AV42" s="3"/>
      <c r="AW42" s="3"/>
      <c r="AX42" s="3"/>
      <c r="AY42" s="3"/>
      <c r="AZ42" s="3"/>
      <c r="BA42" s="3"/>
      <c r="BB42" s="3"/>
      <c r="BC42" s="5"/>
    </row>
    <row r="43" spans="1:55" x14ac:dyDescent="0.2">
      <c r="A43" s="5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 t="s">
        <v>9</v>
      </c>
      <c r="AJ43" s="3"/>
      <c r="AK43" s="71">
        <f>+AO6</f>
        <v>30</v>
      </c>
      <c r="AL43" s="71"/>
      <c r="AM43" s="3" t="s">
        <v>0</v>
      </c>
      <c r="AN43" s="3"/>
      <c r="AO43" s="3"/>
      <c r="AP43" s="3"/>
      <c r="AQ43" s="3"/>
      <c r="AR43" s="3"/>
      <c r="AS43" s="3"/>
      <c r="AT43" s="3"/>
      <c r="AV43" s="3"/>
      <c r="AW43" s="3"/>
      <c r="AX43" s="3"/>
      <c r="AY43" s="3"/>
      <c r="AZ43" s="3"/>
      <c r="BA43" s="3"/>
      <c r="BB43" s="3"/>
      <c r="BC43" s="5"/>
    </row>
    <row r="44" spans="1:55" x14ac:dyDescent="0.2">
      <c r="A44" s="5"/>
      <c r="B44" s="2"/>
      <c r="C44" s="3"/>
      <c r="D44" s="3"/>
      <c r="E44" s="3"/>
      <c r="F44" s="3"/>
      <c r="G44" s="3"/>
      <c r="H44" s="3"/>
      <c r="I44" s="3"/>
      <c r="J44" s="3"/>
      <c r="K44" s="78">
        <v>120</v>
      </c>
      <c r="L44" s="78"/>
      <c r="M44" s="3" t="s">
        <v>0</v>
      </c>
      <c r="N44" s="3"/>
      <c r="O44" s="3"/>
      <c r="P44" s="3"/>
      <c r="Q44" s="78">
        <v>25</v>
      </c>
      <c r="R44" s="78"/>
      <c r="S44" s="3" t="s">
        <v>0</v>
      </c>
      <c r="T44" s="3"/>
      <c r="U44" s="3"/>
      <c r="V44" s="71">
        <f>+K44</f>
        <v>120</v>
      </c>
      <c r="W44" s="71"/>
      <c r="X44" s="3" t="s">
        <v>0</v>
      </c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W44" s="3"/>
      <c r="AX44" s="3"/>
      <c r="AY44" s="3"/>
      <c r="AZ44" s="3"/>
      <c r="BA44" s="3"/>
      <c r="BB44" s="3"/>
      <c r="BC44" s="5"/>
    </row>
    <row r="45" spans="1:55" x14ac:dyDescent="0.2">
      <c r="A45" s="5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W45" s="3"/>
      <c r="AX45" s="3"/>
      <c r="AY45" s="3"/>
      <c r="AZ45" s="3"/>
      <c r="BA45" s="3"/>
      <c r="BB45" s="3"/>
      <c r="BC45" s="5"/>
    </row>
    <row r="46" spans="1:55" x14ac:dyDescent="0.2">
      <c r="A46" s="5"/>
      <c r="B46" s="2"/>
      <c r="C46" s="3"/>
      <c r="D46" s="3"/>
      <c r="E46" s="3"/>
      <c r="F46" s="3"/>
      <c r="G46" s="3"/>
      <c r="H46" s="3"/>
      <c r="I46" s="71">
        <f>+K44/2</f>
        <v>60</v>
      </c>
      <c r="J46" s="71"/>
      <c r="K46" s="3" t="s">
        <v>0</v>
      </c>
      <c r="L46" s="3"/>
      <c r="M46" s="3"/>
      <c r="N46" s="71">
        <f>+K44/2+Q44/2</f>
        <v>72.5</v>
      </c>
      <c r="O46" s="71"/>
      <c r="P46" s="3" t="s">
        <v>0</v>
      </c>
      <c r="Q46" s="3"/>
      <c r="R46" s="3"/>
      <c r="S46" s="3"/>
      <c r="T46" s="71">
        <f>+V44/2+Q44/2</f>
        <v>72.5</v>
      </c>
      <c r="U46" s="71"/>
      <c r="V46" s="3" t="s">
        <v>0</v>
      </c>
      <c r="W46" s="3"/>
      <c r="X46" s="3"/>
      <c r="Y46" s="71">
        <f>+V44/2</f>
        <v>60</v>
      </c>
      <c r="Z46" s="71"/>
      <c r="AA46" s="3" t="s">
        <v>0</v>
      </c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W46" s="3"/>
      <c r="AX46" s="3"/>
      <c r="AY46" s="3"/>
      <c r="AZ46" s="3"/>
      <c r="BA46" s="3"/>
      <c r="BB46" s="3"/>
      <c r="BC46" s="5"/>
    </row>
    <row r="47" spans="1:55" x14ac:dyDescent="0.2">
      <c r="A47" s="5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 t="s">
        <v>21</v>
      </c>
      <c r="AJ47" s="3"/>
      <c r="AK47" s="3"/>
      <c r="AL47" s="3"/>
      <c r="AM47" s="3"/>
      <c r="AN47" s="3"/>
      <c r="AO47" s="38"/>
      <c r="AP47" s="38"/>
      <c r="AQ47" s="9"/>
      <c r="AR47" s="3"/>
      <c r="AS47" s="3"/>
      <c r="AT47" s="3"/>
      <c r="AW47" s="3"/>
      <c r="AX47" s="3"/>
      <c r="AY47" s="3"/>
      <c r="AZ47" s="3"/>
      <c r="BA47" s="3"/>
      <c r="BB47" s="3"/>
      <c r="BC47" s="5"/>
    </row>
    <row r="48" spans="1:55" x14ac:dyDescent="0.2">
      <c r="A48" s="5"/>
      <c r="B48" s="2"/>
      <c r="C48" s="3"/>
      <c r="D48" s="3"/>
      <c r="E48" s="3"/>
      <c r="F48" s="3"/>
      <c r="G48" s="3"/>
      <c r="H48" s="3"/>
      <c r="I48" s="3"/>
      <c r="J48" s="3"/>
      <c r="K48" s="72">
        <f>+K44+Q44/2</f>
        <v>132.5</v>
      </c>
      <c r="L48" s="72"/>
      <c r="M48" s="72"/>
      <c r="N48" s="3" t="s">
        <v>0</v>
      </c>
      <c r="O48" s="3"/>
      <c r="P48" s="3"/>
      <c r="Q48" s="3"/>
      <c r="R48" s="3"/>
      <c r="S48" s="3"/>
      <c r="T48" s="3"/>
      <c r="U48" s="71">
        <f>+K48</f>
        <v>132.5</v>
      </c>
      <c r="V48" s="71"/>
      <c r="W48" s="71"/>
      <c r="X48" s="3" t="s">
        <v>0</v>
      </c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W48" s="3"/>
      <c r="AX48" s="3"/>
      <c r="AY48" s="3"/>
      <c r="AZ48" s="3"/>
      <c r="BA48" s="3"/>
      <c r="BB48" s="3"/>
      <c r="BC48" s="5"/>
    </row>
    <row r="49" spans="1:87" x14ac:dyDescent="0.2">
      <c r="A49" s="5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W49" s="3"/>
      <c r="AX49" s="3"/>
      <c r="AY49" s="3"/>
      <c r="AZ49" s="3"/>
      <c r="BA49" s="3"/>
      <c r="BB49" s="3"/>
      <c r="BC49" s="5"/>
    </row>
    <row r="50" spans="1:87" x14ac:dyDescent="0.2">
      <c r="A50" s="5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71">
        <f>+K44+Q44+V44</f>
        <v>265</v>
      </c>
      <c r="R50" s="71"/>
      <c r="S50" s="3" t="s">
        <v>0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W50" s="3"/>
      <c r="AX50" s="3"/>
      <c r="AY50" s="3"/>
      <c r="AZ50" s="3"/>
      <c r="BA50" s="3"/>
      <c r="BB50" s="3"/>
      <c r="BC50" s="5"/>
    </row>
    <row r="51" spans="1:87" ht="12" thickBot="1" x14ac:dyDescent="0.25">
      <c r="A51" s="5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5"/>
    </row>
    <row r="52" spans="1:87" ht="12" thickBot="1" x14ac:dyDescent="0.25"/>
    <row r="53" spans="1:87" ht="48.75" customHeight="1" x14ac:dyDescent="0.2">
      <c r="A53" s="18"/>
      <c r="B53" s="85" t="s">
        <v>38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6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</row>
    <row r="54" spans="1:87" x14ac:dyDescent="0.2">
      <c r="A54" s="23"/>
      <c r="B54" s="3"/>
      <c r="C54" s="3"/>
      <c r="D54" s="3"/>
      <c r="E54" s="3"/>
      <c r="F54" s="3"/>
      <c r="G54" s="3"/>
      <c r="H54" s="3"/>
      <c r="I54" s="3"/>
      <c r="J54" s="3"/>
      <c r="K54" s="3"/>
      <c r="N54" s="3"/>
      <c r="O54" s="3"/>
      <c r="P54" s="3"/>
      <c r="Q54" s="3"/>
      <c r="R54" s="3"/>
      <c r="S54" s="3"/>
      <c r="T54" s="3"/>
      <c r="U54" s="3"/>
      <c r="X54" s="3"/>
      <c r="Y54" s="3"/>
      <c r="Z54" s="16" t="s">
        <v>5</v>
      </c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18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</row>
    <row r="55" spans="1:87" x14ac:dyDescent="0.2">
      <c r="A55" s="23"/>
      <c r="B55" s="3"/>
      <c r="C55" s="3"/>
      <c r="D55" s="3"/>
      <c r="E55" s="3"/>
      <c r="F55" s="3"/>
      <c r="G55" s="3"/>
      <c r="H55" s="3"/>
      <c r="I55" s="3"/>
      <c r="J55" s="3"/>
      <c r="K55" s="71">
        <f>+K98</f>
        <v>132.5</v>
      </c>
      <c r="L55" s="71"/>
      <c r="M55" s="71"/>
      <c r="N55" s="3" t="s">
        <v>0</v>
      </c>
      <c r="O55" s="3"/>
      <c r="P55" s="3"/>
      <c r="Q55" s="3"/>
      <c r="R55" s="3"/>
      <c r="S55" s="3"/>
      <c r="T55" s="3"/>
      <c r="U55" s="71">
        <f>+K55</f>
        <v>132.5</v>
      </c>
      <c r="V55" s="71"/>
      <c r="W55" s="71"/>
      <c r="X55" s="3" t="s">
        <v>0</v>
      </c>
      <c r="Y55" s="3"/>
      <c r="Z55" s="16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5"/>
    </row>
    <row r="56" spans="1:87" x14ac:dyDescent="0.2">
      <c r="A56" s="23"/>
      <c r="B56" s="3"/>
      <c r="C56" s="3"/>
      <c r="F56" s="3"/>
      <c r="G56" s="3"/>
      <c r="H56" s="3"/>
      <c r="I56" s="3"/>
      <c r="J56" s="3"/>
      <c r="K56" s="3"/>
      <c r="L56" s="3"/>
      <c r="Q56" s="3"/>
      <c r="R56" s="3"/>
      <c r="U56" s="3"/>
      <c r="V56" s="3"/>
      <c r="W56" s="3"/>
      <c r="X56" s="3"/>
      <c r="Y56" s="3"/>
      <c r="Z56" s="3"/>
      <c r="AA56" s="3"/>
      <c r="AB56" s="3"/>
      <c r="AC56" s="3"/>
      <c r="AD56" s="3"/>
      <c r="AG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5"/>
    </row>
    <row r="57" spans="1:87" x14ac:dyDescent="0.2">
      <c r="A57" s="23"/>
      <c r="B57" s="3"/>
      <c r="C57" s="3"/>
      <c r="D57" s="3"/>
      <c r="E57" s="3"/>
      <c r="F57" s="3"/>
      <c r="G57" s="71">
        <f>+K55-M57-P57-J57</f>
        <v>10.552936527465079</v>
      </c>
      <c r="H57" s="71"/>
      <c r="I57" s="1" t="s">
        <v>0</v>
      </c>
      <c r="J57" s="71">
        <f>(N96*SIN((2.5*AP58*360/(2*PI()*N96))*PI()/180))*((I96+N96-(N96*COS((2.5*AP58*360/(2*PI()*N96))*PI()/180)))+((N96*SIN((2.5*AP58*360/(2*PI()*N96))*PI()/180))*((N96*COS((2.5*AP58*360/(2*PI()*N96))*PI()/180))+AC79)/((N96*SIN((2.5*AP58*360/(2*PI()*N96))*PI()/180))+3*AI60)))/((N96*SIN((2.5*AP58*360/(2*PI()*N96))*PI()/180))*((N96*COS((2.5*AP58*360/(2*PI()*N96))*PI()/180))+AC79)/((N96*SIN((2.5*AP58*360/(2*PI()*N96))*PI()/180))+3*AI60))-P57-M57</f>
        <v>51.119467634571649</v>
      </c>
      <c r="K57" s="71"/>
      <c r="L57" s="1" t="s">
        <v>0</v>
      </c>
      <c r="M57" s="71">
        <f>(N96*SIN((1.5*AP58*360/(2*PI()*N96))*PI()/180))*((I96+N96-(N96*COS((1.5*AP58*360/(2*PI()*N96))*PI()/180)))+((N96*SIN((1.5*AP58*360/(2*PI()*N96))*PI()/180))*((N96*COS((1.5*AP58*360/(2*PI()*N96))*PI()/180))+AC79)/((N96*SIN((1.5*AP58*360/(2*PI()*N96))*PI()/180))+2*AI60)))/((N96*SIN((1.5*AP58*360/(2*PI()*N96))*PI()/180))*((N96*COS((1.5*AP58*360/(2*PI()*N96))*PI()/180))+AC79)/((N96*SIN((1.5*AP58*360/(2*PI()*N96))*PI()/180))+2*AI60))-P57</f>
        <v>45.51778644052709</v>
      </c>
      <c r="N57" s="71"/>
      <c r="O57" s="1" t="s">
        <v>0</v>
      </c>
      <c r="P57" s="71">
        <f>((N96*SIN((AP58/2*360/(2*PI()*N96))*PI()/180))-Q67)*(I96-((N96*COS((AP58/2*360/(2*PI()*N96))*PI()/180))-M70)+I96)/((N96*COS((AP58/2*360/(2*PI()*N96))*PI()/180))-M70)+(N96*SIN((AP58/2*360/(2*PI()*N96))*PI()/180))</f>
        <v>25.309809397436183</v>
      </c>
      <c r="Q57" s="71"/>
      <c r="R57" s="71">
        <f>+P57</f>
        <v>25.309809397436183</v>
      </c>
      <c r="S57" s="71"/>
      <c r="T57" s="71">
        <f>+M57</f>
        <v>45.51778644052709</v>
      </c>
      <c r="U57" s="71"/>
      <c r="V57" s="1" t="s">
        <v>0</v>
      </c>
      <c r="X57" s="71">
        <f>+J57</f>
        <v>51.119467634571649</v>
      </c>
      <c r="Y57" s="71"/>
      <c r="Z57" s="1" t="s">
        <v>0</v>
      </c>
      <c r="AA57" s="71">
        <f>+G57</f>
        <v>10.552936527465079</v>
      </c>
      <c r="AB57" s="71"/>
      <c r="AC57" s="3" t="s">
        <v>0</v>
      </c>
      <c r="AD57" s="3"/>
      <c r="AG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5"/>
      <c r="BG57" s="27" t="s">
        <v>22</v>
      </c>
    </row>
    <row r="58" spans="1:87" x14ac:dyDescent="0.2">
      <c r="A58" s="2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I58" s="3" t="s">
        <v>1</v>
      </c>
      <c r="AJ58" s="3"/>
      <c r="AK58" s="3"/>
      <c r="AL58" s="3"/>
      <c r="AM58" s="3"/>
      <c r="AN58" s="3"/>
      <c r="AO58" s="3"/>
      <c r="AP58" s="78">
        <v>30</v>
      </c>
      <c r="AQ58" s="78"/>
      <c r="AR58" s="3" t="s">
        <v>0</v>
      </c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5"/>
      <c r="BG58" s="3" t="s">
        <v>18</v>
      </c>
      <c r="BH58" s="3"/>
      <c r="BI58" s="3"/>
      <c r="BJ58" s="3"/>
      <c r="BK58" s="3"/>
      <c r="BL58" s="78">
        <v>4.3</v>
      </c>
      <c r="BM58" s="78"/>
      <c r="BN58" s="3" t="s">
        <v>10</v>
      </c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</row>
    <row r="59" spans="1:87" x14ac:dyDescent="0.2">
      <c r="A59" s="2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 t="s">
        <v>3</v>
      </c>
      <c r="AJ59" s="3"/>
      <c r="AK59" s="3"/>
      <c r="AL59" s="3"/>
      <c r="AM59" s="3"/>
      <c r="AN59" s="3"/>
      <c r="AO59" s="9">
        <v>25</v>
      </c>
      <c r="AP59" s="3" t="s">
        <v>4</v>
      </c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5"/>
      <c r="BG59" s="21" t="s">
        <v>6</v>
      </c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</row>
    <row r="60" spans="1:87" x14ac:dyDescent="0.2">
      <c r="A60" s="23"/>
      <c r="B60" s="3"/>
      <c r="C60" s="3"/>
      <c r="D60" s="3"/>
      <c r="E60" s="3"/>
      <c r="F60" s="3"/>
      <c r="G60" s="3"/>
      <c r="H60" s="28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30"/>
      <c r="AB60" s="3"/>
      <c r="AC60" s="3"/>
      <c r="AD60" s="3"/>
      <c r="AE60" s="3"/>
      <c r="AF60" s="3"/>
      <c r="AG60" s="3"/>
      <c r="AI60" s="82">
        <f>P57*(AC79+M70-S70)/(AC65-M70+S70)</f>
        <v>41.309287721251849</v>
      </c>
      <c r="AJ60" s="82"/>
      <c r="AK60" s="82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5"/>
      <c r="BG60" s="3" t="s">
        <v>7</v>
      </c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</row>
    <row r="61" spans="1:87" x14ac:dyDescent="0.2">
      <c r="A61" s="23"/>
      <c r="B61" s="3"/>
      <c r="C61" s="3"/>
      <c r="G61" s="3"/>
      <c r="H61" s="31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3"/>
      <c r="AB61" s="3"/>
      <c r="AC61" s="3"/>
      <c r="AD61" s="3"/>
      <c r="AE61" s="3"/>
      <c r="AF61" s="3"/>
      <c r="AG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5"/>
      <c r="BG61" s="3" t="s">
        <v>8</v>
      </c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</row>
    <row r="62" spans="1:87" x14ac:dyDescent="0.2">
      <c r="A62" s="23"/>
      <c r="B62" s="3"/>
      <c r="C62" s="3"/>
      <c r="D62" s="71">
        <f>+C75-D66-D70-D73-D77-D80-D86-D89-D83-D91</f>
        <v>54.727877108451139</v>
      </c>
      <c r="E62" s="71"/>
      <c r="F62" s="3" t="s">
        <v>0</v>
      </c>
      <c r="G62" s="3"/>
      <c r="H62" s="31"/>
      <c r="I62" s="32"/>
      <c r="J62" s="32"/>
      <c r="K62" s="32"/>
      <c r="L62" s="32"/>
      <c r="M62" s="32"/>
      <c r="N62" s="74">
        <v>12</v>
      </c>
      <c r="O62" s="74"/>
      <c r="P62" s="32"/>
      <c r="Q62" s="74">
        <v>13</v>
      </c>
      <c r="R62" s="74"/>
      <c r="S62" s="32"/>
      <c r="T62" s="32"/>
      <c r="U62" s="32"/>
      <c r="V62" s="32"/>
      <c r="W62" s="32"/>
      <c r="X62" s="32"/>
      <c r="Y62" s="32"/>
      <c r="Z62" s="32"/>
      <c r="AA62" s="33"/>
      <c r="AB62" s="3"/>
      <c r="AC62" s="3"/>
      <c r="AD62" s="3"/>
      <c r="AE62" s="3"/>
      <c r="AF62" s="3"/>
      <c r="AG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5"/>
      <c r="BG62" s="3" t="s">
        <v>9</v>
      </c>
      <c r="BH62" s="3"/>
      <c r="BI62" s="71">
        <f>0.63-2*BI63</f>
        <v>0.28600000000000003</v>
      </c>
      <c r="BJ62" s="71"/>
      <c r="BK62" s="71"/>
      <c r="BL62" s="3" t="s">
        <v>10</v>
      </c>
      <c r="BM62" s="3" t="s">
        <v>11</v>
      </c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</row>
    <row r="63" spans="1:87" x14ac:dyDescent="0.2">
      <c r="A63" s="23"/>
      <c r="B63" s="3"/>
      <c r="C63" s="3"/>
      <c r="D63" s="3"/>
      <c r="E63" s="3"/>
      <c r="F63" s="3"/>
      <c r="G63" s="3"/>
      <c r="H63" s="31"/>
      <c r="I63" s="32"/>
      <c r="J63" s="32"/>
      <c r="K63" s="32"/>
      <c r="L63" s="32">
        <v>11</v>
      </c>
      <c r="M63" s="32"/>
      <c r="N63" s="32"/>
      <c r="O63" s="32"/>
      <c r="P63" s="32"/>
      <c r="Q63" s="32"/>
      <c r="R63" s="32"/>
      <c r="S63" s="32"/>
      <c r="T63" s="32">
        <v>14</v>
      </c>
      <c r="U63" s="32"/>
      <c r="V63" s="32"/>
      <c r="W63" s="70"/>
      <c r="X63" s="32"/>
      <c r="Y63" s="32"/>
      <c r="Z63" s="32"/>
      <c r="AA63" s="33"/>
      <c r="AB63" s="3"/>
      <c r="AC63" s="79" t="s">
        <v>0</v>
      </c>
      <c r="AD63" s="3"/>
      <c r="AE63" s="79" t="s">
        <v>0</v>
      </c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5"/>
      <c r="BG63" s="3" t="s">
        <v>12</v>
      </c>
      <c r="BH63" s="3"/>
      <c r="BI63" s="71">
        <f>BL58/BL64</f>
        <v>0.17199999999999999</v>
      </c>
      <c r="BJ63" s="71"/>
      <c r="BK63" s="71"/>
      <c r="BL63" s="3" t="s">
        <v>10</v>
      </c>
      <c r="BM63" s="3" t="s">
        <v>13</v>
      </c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</row>
    <row r="64" spans="1:87" x14ac:dyDescent="0.2">
      <c r="A64" s="23"/>
      <c r="B64" s="3"/>
      <c r="C64" s="3"/>
      <c r="D64" s="3"/>
      <c r="E64" s="3"/>
      <c r="F64" s="3"/>
      <c r="G64" s="3"/>
      <c r="H64" s="31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>
        <v>15</v>
      </c>
      <c r="X64" s="32"/>
      <c r="Y64" s="70"/>
      <c r="Z64" s="32"/>
      <c r="AA64" s="33"/>
      <c r="AB64" s="3"/>
      <c r="AC64" s="79"/>
      <c r="AD64" s="3"/>
      <c r="AE64" s="79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5"/>
      <c r="BG64" s="3" t="s">
        <v>14</v>
      </c>
      <c r="BH64" s="3"/>
      <c r="BI64" s="3"/>
      <c r="BJ64" s="3"/>
      <c r="BK64" s="3"/>
      <c r="BL64" s="72">
        <v>25</v>
      </c>
      <c r="BM64" s="72"/>
      <c r="BN64" s="3" t="s">
        <v>4</v>
      </c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</row>
    <row r="65" spans="1:77" x14ac:dyDescent="0.2">
      <c r="A65" s="23"/>
      <c r="B65" s="3"/>
      <c r="C65" s="3"/>
      <c r="H65" s="31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3"/>
      <c r="AB65" s="3"/>
      <c r="AC65" s="79">
        <f>+K94+Q94/2</f>
        <v>132.5</v>
      </c>
      <c r="AD65" s="3"/>
      <c r="AE65" s="79">
        <f>+C75-AE79</f>
        <v>120</v>
      </c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9"/>
      <c r="BB65" s="9"/>
      <c r="BC65" s="23"/>
      <c r="BG65" s="3">
        <v>2</v>
      </c>
      <c r="BH65" s="52" t="s">
        <v>15</v>
      </c>
      <c r="BI65" s="71">
        <f>+BI63</f>
        <v>0.17199999999999999</v>
      </c>
      <c r="BJ65" s="71"/>
      <c r="BK65" s="71"/>
      <c r="BL65" s="52" t="s">
        <v>16</v>
      </c>
      <c r="BM65" s="71">
        <f>+BI62</f>
        <v>0.28600000000000003</v>
      </c>
      <c r="BN65" s="71"/>
      <c r="BO65" s="71"/>
      <c r="BP65" s="52" t="s">
        <v>17</v>
      </c>
      <c r="BQ65" s="71">
        <f>+BG65*BI65+BM65</f>
        <v>0.63</v>
      </c>
      <c r="BR65" s="71"/>
      <c r="BS65" s="71"/>
      <c r="BT65" s="3" t="s">
        <v>10</v>
      </c>
      <c r="BU65" s="3"/>
      <c r="BV65" s="16" t="str">
        <f>IF(BQ65=0.63,"uygun.","uygun değil.")</f>
        <v>uygun.</v>
      </c>
      <c r="BW65" s="3"/>
      <c r="BX65" s="3"/>
      <c r="BY65" s="3"/>
    </row>
    <row r="66" spans="1:77" x14ac:dyDescent="0.2">
      <c r="A66" s="23"/>
      <c r="B66" s="3"/>
      <c r="C66" s="3"/>
      <c r="D66" s="71">
        <f>((S77+S78+S79+S81+S83+S87+S89+S85+S91)*(K98+4*AI60)/(4*AI60))-((S78+S79+S81+S83+S87+S89+S85+S91)*(K98+5*AI60)/(5*AI60))</f>
        <v>47.285075336598879</v>
      </c>
      <c r="E66" s="71"/>
      <c r="F66" s="3" t="s">
        <v>0</v>
      </c>
      <c r="G66" s="3"/>
      <c r="H66" s="31"/>
      <c r="I66" s="32"/>
      <c r="J66" s="32"/>
      <c r="K66" s="32">
        <v>10</v>
      </c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>
        <v>16</v>
      </c>
      <c r="Y66" s="32"/>
      <c r="Z66" s="32"/>
      <c r="AA66" s="33"/>
      <c r="AB66" s="3"/>
      <c r="AC66" s="79"/>
      <c r="AD66" s="3"/>
      <c r="AE66" s="79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9"/>
      <c r="BB66" s="9"/>
      <c r="BC66" s="23"/>
    </row>
    <row r="67" spans="1:77" x14ac:dyDescent="0.2">
      <c r="A67" s="23"/>
      <c r="B67" s="3"/>
      <c r="C67" s="3"/>
      <c r="D67" s="3"/>
      <c r="E67" s="3"/>
      <c r="F67" s="3"/>
      <c r="G67" s="3"/>
      <c r="H67" s="31"/>
      <c r="I67" s="32"/>
      <c r="J67" s="32"/>
      <c r="K67" s="32"/>
      <c r="L67" s="32"/>
      <c r="M67" s="32"/>
      <c r="N67" s="32"/>
      <c r="O67" s="32"/>
      <c r="P67" s="32"/>
      <c r="Q67" s="20">
        <v>5</v>
      </c>
      <c r="R67" s="32" t="s">
        <v>0</v>
      </c>
      <c r="S67" s="32"/>
      <c r="T67" s="32"/>
      <c r="U67" s="32"/>
      <c r="V67" s="32"/>
      <c r="W67" s="32"/>
      <c r="X67" s="32"/>
      <c r="Y67" s="32"/>
      <c r="Z67" s="32"/>
      <c r="AA67" s="33"/>
      <c r="AB67" s="3"/>
      <c r="AC67" s="79"/>
      <c r="AD67" s="3"/>
      <c r="AE67" s="79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9"/>
      <c r="BB67" s="9"/>
      <c r="BC67" s="23"/>
    </row>
    <row r="68" spans="1:77" x14ac:dyDescent="0.2">
      <c r="A68" s="23"/>
      <c r="B68" s="3"/>
      <c r="C68" s="3"/>
      <c r="D68" s="3"/>
      <c r="E68" s="3"/>
      <c r="F68" s="3"/>
      <c r="G68" s="3"/>
      <c r="H68" s="31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70"/>
      <c r="Z68" s="32"/>
      <c r="AA68" s="3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9"/>
      <c r="BB68" s="9"/>
      <c r="BC68" s="23"/>
      <c r="BG68" s="1" t="s">
        <v>19</v>
      </c>
    </row>
    <row r="69" spans="1:77" x14ac:dyDescent="0.2">
      <c r="A69" s="23"/>
      <c r="B69" s="3"/>
      <c r="C69" s="3"/>
      <c r="D69" s="3"/>
      <c r="E69" s="3"/>
      <c r="F69" s="3"/>
      <c r="G69" s="3"/>
      <c r="H69" s="31"/>
      <c r="I69" s="32"/>
      <c r="J69" s="32">
        <v>9</v>
      </c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>
        <v>17</v>
      </c>
      <c r="Z69" s="32"/>
      <c r="AA69" s="3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9"/>
      <c r="AN69" s="9"/>
      <c r="AO69" s="9"/>
      <c r="AP69" s="9"/>
      <c r="AQ69" s="9"/>
      <c r="AR69" s="9"/>
      <c r="AS69" s="9"/>
      <c r="AT69" s="3"/>
      <c r="AU69" s="3"/>
      <c r="AV69" s="3"/>
      <c r="AW69" s="3"/>
      <c r="AX69" s="3"/>
      <c r="AY69" s="3"/>
      <c r="AZ69" s="3"/>
      <c r="BA69" s="9"/>
      <c r="BB69" s="9"/>
      <c r="BC69" s="23"/>
      <c r="BG69" s="4" t="s">
        <v>2</v>
      </c>
    </row>
    <row r="70" spans="1:77" x14ac:dyDescent="0.2">
      <c r="A70" s="23"/>
      <c r="B70" s="3"/>
      <c r="D70" s="71">
        <f>8*AP58*(I96+N96+AI60*5)/(N96+AI60*5)-D80-D77-D73-D86-D89-D83-D91</f>
        <v>42.273036271487769</v>
      </c>
      <c r="E70" s="71"/>
      <c r="F70" s="3" t="s">
        <v>0</v>
      </c>
      <c r="G70" s="3"/>
      <c r="H70" s="31"/>
      <c r="I70" s="32"/>
      <c r="J70" s="32"/>
      <c r="K70" s="32"/>
      <c r="L70" s="32"/>
      <c r="M70" s="74">
        <f>+Q94/2</f>
        <v>12.5</v>
      </c>
      <c r="N70" s="74"/>
      <c r="O70" s="32"/>
      <c r="P70" s="32"/>
      <c r="Q70" s="6"/>
      <c r="R70" s="7"/>
      <c r="S70" s="80">
        <f>Q67*K94/(P57-Q67)</f>
        <v>29.542374734237598</v>
      </c>
      <c r="T70" s="81"/>
      <c r="U70" s="74" t="s">
        <v>0</v>
      </c>
      <c r="V70" s="32"/>
      <c r="W70" s="32"/>
      <c r="X70" s="32"/>
      <c r="Y70" s="32"/>
      <c r="Z70" s="32"/>
      <c r="AA70" s="3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23"/>
    </row>
    <row r="71" spans="1:77" x14ac:dyDescent="0.2">
      <c r="A71" s="23"/>
      <c r="B71" s="3"/>
      <c r="D71" s="3"/>
      <c r="E71" s="3"/>
      <c r="F71" s="3"/>
      <c r="G71" s="3"/>
      <c r="H71" s="31"/>
      <c r="I71" s="32"/>
      <c r="J71" s="32"/>
      <c r="K71" s="32"/>
      <c r="L71" s="32"/>
      <c r="M71" s="32"/>
      <c r="N71" s="32"/>
      <c r="O71" s="32"/>
      <c r="P71" s="32"/>
      <c r="Q71" s="8"/>
      <c r="R71" s="10"/>
      <c r="S71" s="80"/>
      <c r="T71" s="81"/>
      <c r="U71" s="74"/>
      <c r="V71" s="32"/>
      <c r="W71" s="32"/>
      <c r="X71" s="32"/>
      <c r="Y71" s="32"/>
      <c r="Z71" s="32"/>
      <c r="AA71" s="33"/>
      <c r="AB71" s="3"/>
      <c r="AC71" s="3"/>
      <c r="AD71" s="3"/>
      <c r="AE71" s="3"/>
      <c r="AF71" s="3"/>
      <c r="AG71" s="3"/>
      <c r="AH71" s="3"/>
      <c r="AI71" s="3"/>
      <c r="AJ71" s="3"/>
      <c r="AK71" s="3"/>
      <c r="AM71" s="3"/>
      <c r="AN71" s="3"/>
      <c r="AO71" s="3"/>
      <c r="AP71" s="3"/>
      <c r="AQ71" s="3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23"/>
      <c r="BG71" s="1" t="s">
        <v>20</v>
      </c>
    </row>
    <row r="72" spans="1:77" x14ac:dyDescent="0.2">
      <c r="A72" s="23"/>
      <c r="B72" s="3"/>
      <c r="D72" s="3"/>
      <c r="E72" s="3"/>
      <c r="F72" s="3"/>
      <c r="G72" s="3"/>
      <c r="H72" s="31"/>
      <c r="I72" s="32"/>
      <c r="J72" s="32">
        <v>8</v>
      </c>
      <c r="K72" s="32"/>
      <c r="L72" s="32"/>
      <c r="M72" s="32"/>
      <c r="N72" s="32"/>
      <c r="O72" s="32"/>
      <c r="P72" s="32"/>
      <c r="Q72" s="8"/>
      <c r="R72" s="10"/>
      <c r="S72" s="70"/>
      <c r="T72" s="32"/>
      <c r="U72" s="32"/>
      <c r="V72" s="32"/>
      <c r="W72" s="32"/>
      <c r="X72" s="32"/>
      <c r="Y72" s="32">
        <v>18</v>
      </c>
      <c r="Z72" s="32"/>
      <c r="AA72" s="33"/>
      <c r="AB72" s="3"/>
      <c r="AC72" s="3"/>
      <c r="AD72" s="3"/>
      <c r="AE72" s="3"/>
      <c r="AF72" s="3"/>
      <c r="AG72" s="3"/>
      <c r="AH72" s="3"/>
      <c r="AI72" s="3"/>
      <c r="AJ72" s="3"/>
      <c r="AK72" s="3"/>
      <c r="AM72" s="3"/>
      <c r="AN72" s="3"/>
      <c r="AO72" s="3"/>
      <c r="AP72" s="3"/>
      <c r="AQ72" s="3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23"/>
    </row>
    <row r="73" spans="1:77" x14ac:dyDescent="0.2">
      <c r="A73" s="23"/>
      <c r="B73" s="3"/>
      <c r="C73" s="79" t="s">
        <v>0</v>
      </c>
      <c r="D73" s="71">
        <f>7*AP58*(I96+N96+AI60*6)/(N96+AI60*6)-D80-D77-D86-D89-D83-D91</f>
        <v>39.46938998634343</v>
      </c>
      <c r="E73" s="71"/>
      <c r="F73" s="3" t="s">
        <v>0</v>
      </c>
      <c r="G73" s="3"/>
      <c r="H73" s="31"/>
      <c r="I73" s="32"/>
      <c r="J73" s="32"/>
      <c r="K73" s="32"/>
      <c r="L73" s="32"/>
      <c r="M73" s="32"/>
      <c r="N73" s="32"/>
      <c r="O73" s="32"/>
      <c r="P73" s="32"/>
      <c r="Q73" s="8"/>
      <c r="R73" s="10"/>
      <c r="S73" s="73">
        <f>(N96*SIN((1.5*AP58*360/(2*PI()*N96))*PI()/180))*((N96*COS((1.5*AP58*360/(2*PI()*N96))*PI()/180))+AC79)/((N96*SIN((1.5*AP58*360/(2*PI()*N96))*PI()/180))+2*AI60)-(N96*COS((1.5*AP58*360/(2*PI()*N96))*PI()/180))+M70-S70</f>
        <v>32.143257564176309</v>
      </c>
      <c r="T73" s="74"/>
      <c r="U73" s="32" t="s">
        <v>0</v>
      </c>
      <c r="V73" s="32"/>
      <c r="W73" s="32"/>
      <c r="X73" s="32"/>
      <c r="Y73" s="32"/>
      <c r="Z73" s="32"/>
      <c r="AA73" s="33"/>
      <c r="AB73" s="3"/>
      <c r="AC73" s="3"/>
      <c r="AD73" s="3"/>
      <c r="AF73" s="3"/>
      <c r="AG73" s="3"/>
      <c r="AH73" s="3"/>
      <c r="AI73" s="3"/>
      <c r="AJ73" s="3"/>
      <c r="AK73" s="3"/>
      <c r="AM73" s="3"/>
      <c r="AN73" s="3"/>
      <c r="AO73" s="3"/>
      <c r="AP73" s="3"/>
      <c r="AQ73" s="3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23"/>
    </row>
    <row r="74" spans="1:77" x14ac:dyDescent="0.2">
      <c r="A74" s="23"/>
      <c r="B74" s="3"/>
      <c r="C74" s="79"/>
      <c r="G74" s="3"/>
      <c r="H74" s="31"/>
      <c r="I74" s="32"/>
      <c r="J74" s="32"/>
      <c r="K74" s="32"/>
      <c r="L74" s="32"/>
      <c r="M74" s="32"/>
      <c r="N74" s="32"/>
      <c r="O74" s="32"/>
      <c r="P74" s="32"/>
      <c r="Q74" s="8"/>
      <c r="R74" s="10"/>
      <c r="S74" s="70"/>
      <c r="T74" s="70"/>
      <c r="U74" s="70"/>
      <c r="V74" s="32"/>
      <c r="W74" s="32"/>
      <c r="X74" s="32"/>
      <c r="Y74" s="32"/>
      <c r="Z74" s="32"/>
      <c r="AA74" s="33"/>
      <c r="AB74" s="3"/>
      <c r="AD74" s="3"/>
      <c r="AF74" s="3"/>
      <c r="AG74" s="3"/>
      <c r="AH74" s="3"/>
      <c r="AI74" s="3"/>
      <c r="AJ74" s="3"/>
      <c r="AK74" s="3"/>
      <c r="AM74" s="3"/>
      <c r="AN74" s="3"/>
      <c r="AO74" s="3"/>
      <c r="AP74" s="3"/>
      <c r="AQ74" s="3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23"/>
    </row>
    <row r="75" spans="1:77" x14ac:dyDescent="0.2">
      <c r="A75" s="23"/>
      <c r="B75" s="3"/>
      <c r="C75" s="79">
        <f>+AC65+AC79</f>
        <v>393.61726630737002</v>
      </c>
      <c r="D75" s="3"/>
      <c r="E75" s="3"/>
      <c r="F75" s="3"/>
      <c r="G75" s="3"/>
      <c r="H75" s="31"/>
      <c r="I75" s="32"/>
      <c r="J75" s="32">
        <v>7</v>
      </c>
      <c r="K75" s="32"/>
      <c r="L75" s="32"/>
      <c r="M75" s="32"/>
      <c r="N75" s="32"/>
      <c r="O75" s="32"/>
      <c r="P75" s="32"/>
      <c r="Q75" s="8"/>
      <c r="R75" s="10"/>
      <c r="S75" s="73">
        <f>(N96*SIN((2.5*AP58*360/(2*PI()*N96))*PI()/180))*((N96*COS((2.5*AP58*360/(2*PI()*N96))*PI()/180))+AC79)/((N96*SIN((2.5*AP58*360/(2*PI()*N96))*PI()/180))+3*AI60)-(N96*COS((2.5*AP58*360/(2*PI()*N96))*PI()/180))+M70-S70-S73</f>
        <v>13.537485466965421</v>
      </c>
      <c r="T75" s="74"/>
      <c r="U75" s="32" t="s">
        <v>0</v>
      </c>
      <c r="V75" s="32"/>
      <c r="W75" s="32"/>
      <c r="X75" s="32"/>
      <c r="Y75" s="32">
        <v>19</v>
      </c>
      <c r="Z75" s="32"/>
      <c r="AA75" s="33"/>
      <c r="AB75" s="3"/>
      <c r="AD75" s="3"/>
      <c r="AF75" s="3"/>
      <c r="AG75" s="3"/>
      <c r="AH75" s="3"/>
      <c r="AJ75" s="3"/>
      <c r="AM75" s="3"/>
      <c r="AN75" s="3"/>
      <c r="AO75" s="3"/>
      <c r="AP75" s="3"/>
      <c r="AQ75" s="3"/>
      <c r="AT75" s="9"/>
      <c r="AU75" s="9"/>
      <c r="AV75" s="9"/>
      <c r="AW75" s="9"/>
      <c r="AX75" s="9"/>
      <c r="AY75" s="9"/>
      <c r="AZ75" s="9"/>
      <c r="BA75" s="9"/>
      <c r="BB75" s="9"/>
      <c r="BC75" s="23"/>
    </row>
    <row r="76" spans="1:77" x14ac:dyDescent="0.2">
      <c r="A76" s="23"/>
      <c r="B76" s="3"/>
      <c r="C76" s="79"/>
      <c r="D76" s="3"/>
      <c r="E76" s="3"/>
      <c r="F76" s="3"/>
      <c r="G76" s="3"/>
      <c r="H76" s="31"/>
      <c r="I76" s="32"/>
      <c r="J76" s="32"/>
      <c r="K76" s="32"/>
      <c r="L76" s="32"/>
      <c r="M76" s="32"/>
      <c r="N76" s="32"/>
      <c r="O76" s="32"/>
      <c r="P76" s="32"/>
      <c r="Q76" s="8"/>
      <c r="R76" s="10"/>
      <c r="S76" s="73">
        <f>(N96*SIN((3.5*AP58*360/(2*PI()*N96))*PI()/180))*((N96*COS((3.5*AP58*360/(2*PI()*N96))*PI()/180))+AC79)/((N96*SIN((3.5*AP58*360/(2*PI()*N96))*PI()/180))+4*AI60)-(N96*COS((3.5*AP58*360/(2*PI()*N96))*PI()/180))+M70-S70-S73-S75</f>
        <v>10.318468466657833</v>
      </c>
      <c r="T76" s="74"/>
      <c r="U76" s="32" t="s">
        <v>0</v>
      </c>
      <c r="V76" s="32"/>
      <c r="W76" s="32"/>
      <c r="X76" s="32"/>
      <c r="Y76" s="32"/>
      <c r="Z76" s="32"/>
      <c r="AA76" s="33"/>
      <c r="AB76" s="3"/>
      <c r="AD76" s="3"/>
      <c r="AF76" s="3"/>
      <c r="AG76" s="3"/>
      <c r="AH76" s="3"/>
      <c r="AJ76" s="3"/>
      <c r="AL76" s="3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23"/>
    </row>
    <row r="77" spans="1:77" x14ac:dyDescent="0.2">
      <c r="A77" s="23"/>
      <c r="B77" s="3"/>
      <c r="C77" s="79"/>
      <c r="D77" s="71">
        <f>6*AP58*(I96+N96+AI60*7)/(N96+AI60*7)-D80-D86-D89-D83-D91</f>
        <v>37.527957226128109</v>
      </c>
      <c r="E77" s="71"/>
      <c r="F77" s="3" t="s">
        <v>0</v>
      </c>
      <c r="G77" s="3"/>
      <c r="H77" s="31"/>
      <c r="I77" s="32"/>
      <c r="J77" s="32"/>
      <c r="K77" s="32"/>
      <c r="L77" s="32"/>
      <c r="M77" s="32"/>
      <c r="N77" s="32"/>
      <c r="O77" s="32"/>
      <c r="P77" s="32"/>
      <c r="Q77" s="8"/>
      <c r="R77" s="10"/>
      <c r="S77" s="73">
        <f>+AC79+M70-S70-S73-S75-S76-S78-S79-S81-S83-S87-S89-S85-S91</f>
        <v>10.430892658969427</v>
      </c>
      <c r="T77" s="74"/>
      <c r="U77" s="32" t="s">
        <v>0</v>
      </c>
      <c r="V77" s="32"/>
      <c r="W77" s="32"/>
      <c r="X77" s="32"/>
      <c r="Y77" s="32"/>
      <c r="Z77" s="32"/>
      <c r="AA77" s="33"/>
      <c r="AB77" s="3"/>
      <c r="AC77" s="79" t="s">
        <v>0</v>
      </c>
      <c r="AD77" s="3"/>
      <c r="AE77" s="79" t="s">
        <v>0</v>
      </c>
      <c r="AF77" s="3"/>
      <c r="AG77" s="3"/>
      <c r="AH77" s="3"/>
      <c r="AJ77" s="3"/>
      <c r="AL77" s="3"/>
      <c r="AM77" s="3"/>
      <c r="AN77" s="3"/>
      <c r="AO77" s="3"/>
      <c r="AP77" s="3"/>
      <c r="AQ77" s="3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23"/>
    </row>
    <row r="78" spans="1:77" x14ac:dyDescent="0.2">
      <c r="A78" s="23"/>
      <c r="B78" s="3"/>
      <c r="C78" s="3"/>
      <c r="D78" s="3"/>
      <c r="E78" s="3"/>
      <c r="F78" s="3"/>
      <c r="G78" s="3"/>
      <c r="H78" s="31"/>
      <c r="I78" s="32"/>
      <c r="J78" s="32">
        <v>6</v>
      </c>
      <c r="K78" s="32"/>
      <c r="L78" s="32"/>
      <c r="M78" s="32"/>
      <c r="N78" s="32"/>
      <c r="O78" s="32"/>
      <c r="P78" s="32"/>
      <c r="Q78" s="8"/>
      <c r="R78" s="10"/>
      <c r="S78" s="73">
        <f>8*AP58-((D80+D77+D73+D70+D86+D89+D83+D91)-8*AP58)*N96/I96-S83-S81-S79-S87-S89-S85-S91</f>
        <v>15.170081171952255</v>
      </c>
      <c r="T78" s="74"/>
      <c r="U78" s="32" t="s">
        <v>0</v>
      </c>
      <c r="V78" s="32"/>
      <c r="W78" s="32"/>
      <c r="X78" s="32"/>
      <c r="Y78" s="32">
        <v>20</v>
      </c>
      <c r="Z78" s="32"/>
      <c r="AA78" s="33"/>
      <c r="AB78" s="3"/>
      <c r="AC78" s="79"/>
      <c r="AD78" s="3"/>
      <c r="AE78" s="79"/>
      <c r="AF78" s="3"/>
      <c r="AG78" s="3"/>
      <c r="AH78" s="3"/>
      <c r="AJ78" s="3"/>
      <c r="AL78" s="3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23"/>
    </row>
    <row r="79" spans="1:77" x14ac:dyDescent="0.2">
      <c r="A79" s="23"/>
      <c r="B79" s="3"/>
      <c r="C79" s="3"/>
      <c r="D79" s="3"/>
      <c r="E79" s="3"/>
      <c r="F79" s="3"/>
      <c r="G79" s="3"/>
      <c r="H79" s="31"/>
      <c r="I79" s="32"/>
      <c r="J79" s="32"/>
      <c r="K79" s="32"/>
      <c r="L79" s="32"/>
      <c r="M79" s="32"/>
      <c r="N79" s="32"/>
      <c r="O79" s="32"/>
      <c r="P79" s="32"/>
      <c r="Q79" s="8"/>
      <c r="R79" s="10"/>
      <c r="S79" s="73">
        <f>7*AP58-((D80+D77+D73+D86+D89+D83+D91)-7*AP58)*N96/I96-S83-S81-S87-S89-S85-S91</f>
        <v>18.557820433168381</v>
      </c>
      <c r="T79" s="74"/>
      <c r="U79" s="74" t="s">
        <v>0</v>
      </c>
      <c r="V79" s="32"/>
      <c r="W79" s="32"/>
      <c r="X79" s="32"/>
      <c r="Y79" s="32"/>
      <c r="Z79" s="32"/>
      <c r="AA79" s="33"/>
      <c r="AB79" s="3"/>
      <c r="AC79" s="79">
        <f>(12.5*AP58)-(2*PI()*N96*90/360)</f>
        <v>261.11726630737002</v>
      </c>
      <c r="AD79" s="3"/>
      <c r="AE79" s="79">
        <f>+AC79+M70</f>
        <v>273.61726630737002</v>
      </c>
      <c r="AF79" s="3"/>
      <c r="AG79" s="3"/>
      <c r="AH79" s="3"/>
      <c r="AJ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5"/>
    </row>
    <row r="80" spans="1:77" x14ac:dyDescent="0.2">
      <c r="A80" s="23"/>
      <c r="B80" s="3"/>
      <c r="C80" s="3"/>
      <c r="D80" s="71">
        <f>5*AP58*(I96+N96+AI60*8)/(N96+AI60*8)-D86-D89-D83-D91</f>
        <v>36.128065092531671</v>
      </c>
      <c r="E80" s="71"/>
      <c r="F80" s="3" t="s">
        <v>0</v>
      </c>
      <c r="G80" s="3"/>
      <c r="H80" s="31"/>
      <c r="I80" s="32"/>
      <c r="J80" s="32"/>
      <c r="K80" s="32"/>
      <c r="L80" s="32"/>
      <c r="M80" s="32"/>
      <c r="N80" s="32"/>
      <c r="O80" s="32"/>
      <c r="P80" s="32"/>
      <c r="Q80" s="8"/>
      <c r="R80" s="10"/>
      <c r="S80" s="73"/>
      <c r="T80" s="74"/>
      <c r="U80" s="74"/>
      <c r="V80" s="32"/>
      <c r="W80" s="32"/>
      <c r="X80" s="32"/>
      <c r="Y80" s="32"/>
      <c r="Z80" s="32"/>
      <c r="AA80" s="33"/>
      <c r="AB80" s="3"/>
      <c r="AC80" s="79"/>
      <c r="AD80" s="3"/>
      <c r="AE80" s="79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5"/>
    </row>
    <row r="81" spans="1:55" x14ac:dyDescent="0.2">
      <c r="A81" s="23"/>
      <c r="B81" s="3"/>
      <c r="C81" s="3"/>
      <c r="D81" s="3"/>
      <c r="E81" s="3"/>
      <c r="F81" s="3"/>
      <c r="G81" s="3"/>
      <c r="H81" s="31"/>
      <c r="I81" s="32"/>
      <c r="J81" s="32">
        <v>5</v>
      </c>
      <c r="K81" s="32"/>
      <c r="L81" s="32"/>
      <c r="M81" s="32"/>
      <c r="N81" s="32"/>
      <c r="O81" s="32"/>
      <c r="P81" s="32"/>
      <c r="Q81" s="8"/>
      <c r="R81" s="10"/>
      <c r="S81" s="73">
        <f>6*AP58-((D80+D77+D86+D89+D83+D91)-6*AP58)*N96/I96-S83-S87-S89-S85-S91</f>
        <v>20.903718351761874</v>
      </c>
      <c r="T81" s="74"/>
      <c r="U81" s="32" t="s">
        <v>0</v>
      </c>
      <c r="V81" s="32"/>
      <c r="W81" s="32"/>
      <c r="X81" s="32"/>
      <c r="Y81" s="32">
        <v>21</v>
      </c>
      <c r="Z81" s="32"/>
      <c r="AA81" s="33"/>
      <c r="AB81" s="3"/>
      <c r="AC81" s="79"/>
      <c r="AD81" s="3"/>
      <c r="AE81" s="79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5"/>
    </row>
    <row r="82" spans="1:55" x14ac:dyDescent="0.2">
      <c r="A82" s="23"/>
      <c r="B82" s="3"/>
      <c r="H82" s="31"/>
      <c r="I82" s="32"/>
      <c r="J82" s="32"/>
      <c r="K82" s="32"/>
      <c r="L82" s="32"/>
      <c r="M82" s="32"/>
      <c r="N82" s="32"/>
      <c r="O82" s="32"/>
      <c r="P82" s="32"/>
      <c r="Q82" s="8"/>
      <c r="R82" s="10"/>
      <c r="S82" s="70"/>
      <c r="T82" s="70"/>
      <c r="U82" s="70"/>
      <c r="V82" s="32"/>
      <c r="W82" s="32"/>
      <c r="X82" s="32"/>
      <c r="Y82" s="32"/>
      <c r="Z82" s="32"/>
      <c r="AA82" s="33"/>
      <c r="AG82" s="3"/>
      <c r="AH82" s="3"/>
      <c r="AX82" s="3"/>
      <c r="AY82" s="3"/>
      <c r="AZ82" s="3"/>
      <c r="BA82" s="3"/>
      <c r="BB82" s="3"/>
      <c r="BC82" s="5"/>
    </row>
    <row r="83" spans="1:55" x14ac:dyDescent="0.2">
      <c r="A83" s="23"/>
      <c r="B83" s="3"/>
      <c r="D83" s="71">
        <f>4*AP58*(I96+N96+AI60*9)/(N96+AI60*9)-D86-D89-D91</f>
        <v>35.085438579823759</v>
      </c>
      <c r="E83" s="71"/>
      <c r="F83" s="3" t="s">
        <v>0</v>
      </c>
      <c r="H83" s="31"/>
      <c r="I83" s="32"/>
      <c r="J83" s="32">
        <v>4</v>
      </c>
      <c r="K83" s="32"/>
      <c r="L83" s="32"/>
      <c r="M83" s="32"/>
      <c r="N83" s="32"/>
      <c r="O83" s="32"/>
      <c r="P83" s="32"/>
      <c r="Q83" s="8"/>
      <c r="R83" s="10"/>
      <c r="S83" s="74">
        <f>5*AP58-((D86+D80+D89+D83+D91)-5*AP58)*N96/I96-S87-S89-S85-S91</f>
        <v>22.595254679857554</v>
      </c>
      <c r="T83" s="74"/>
      <c r="U83" s="32" t="s">
        <v>0</v>
      </c>
      <c r="V83" s="32"/>
      <c r="W83" s="32"/>
      <c r="X83" s="32"/>
      <c r="Y83" s="32"/>
      <c r="Z83" s="32"/>
      <c r="AA83" s="33"/>
      <c r="AG83" s="3"/>
      <c r="AH83" s="3"/>
      <c r="AK83" s="3"/>
      <c r="AL83" s="3"/>
      <c r="AM83" s="3"/>
      <c r="AN83" s="3"/>
      <c r="AO83" s="3"/>
      <c r="AP83" s="3"/>
      <c r="AQ83" s="3"/>
      <c r="AX83" s="3"/>
      <c r="AY83" s="3"/>
      <c r="AZ83" s="3"/>
      <c r="BA83" s="3"/>
      <c r="BB83" s="3"/>
      <c r="BC83" s="5"/>
    </row>
    <row r="84" spans="1:55" x14ac:dyDescent="0.2">
      <c r="A84" s="23"/>
      <c r="B84" s="3"/>
      <c r="C84" s="3"/>
      <c r="D84" s="3"/>
      <c r="E84" s="3"/>
      <c r="F84" s="3"/>
      <c r="G84" s="3"/>
      <c r="H84" s="31"/>
      <c r="I84" s="32"/>
      <c r="J84" s="32"/>
      <c r="K84" s="32"/>
      <c r="L84" s="32"/>
      <c r="M84" s="32"/>
      <c r="N84" s="32"/>
      <c r="O84" s="32"/>
      <c r="P84" s="32"/>
      <c r="Q84" s="8"/>
      <c r="R84" s="10"/>
      <c r="S84" s="70"/>
      <c r="T84" s="70"/>
      <c r="U84" s="70"/>
      <c r="V84" s="32"/>
      <c r="W84" s="32"/>
      <c r="X84" s="32"/>
      <c r="Y84" s="32">
        <v>22</v>
      </c>
      <c r="Z84" s="32"/>
      <c r="AA84" s="33"/>
      <c r="AB84" s="3"/>
      <c r="AC84" s="3"/>
      <c r="AD84" s="3"/>
      <c r="AE84" s="3"/>
      <c r="AF84" s="3"/>
      <c r="AG84" s="3"/>
      <c r="AH84" s="3"/>
      <c r="AX84" s="3"/>
      <c r="AY84" s="3"/>
      <c r="AZ84" s="3"/>
      <c r="BA84" s="3"/>
      <c r="BB84" s="3"/>
      <c r="BC84" s="5"/>
    </row>
    <row r="85" spans="1:55" x14ac:dyDescent="0.2">
      <c r="A85" s="23"/>
      <c r="B85" s="3"/>
      <c r="C85" s="3"/>
      <c r="G85" s="3"/>
      <c r="H85" s="31"/>
      <c r="I85" s="32"/>
      <c r="J85" s="32"/>
      <c r="K85" s="32"/>
      <c r="L85" s="32"/>
      <c r="M85" s="32"/>
      <c r="N85" s="32"/>
      <c r="O85" s="32"/>
      <c r="P85" s="32"/>
      <c r="Q85" s="8"/>
      <c r="R85" s="10"/>
      <c r="S85" s="74">
        <f>4*AP58-((D86+D83+D89+D91)-4*AP58)*N96/I96-S87-S89-S91</f>
        <v>23.855095049379628</v>
      </c>
      <c r="T85" s="74"/>
      <c r="U85" s="32" t="s">
        <v>0</v>
      </c>
      <c r="V85" s="32"/>
      <c r="W85" s="32"/>
      <c r="X85" s="32"/>
      <c r="Y85" s="32"/>
      <c r="Z85" s="32"/>
      <c r="AA85" s="33"/>
      <c r="AB85" s="3"/>
      <c r="AC85" s="3"/>
      <c r="AD85" s="3"/>
      <c r="AE85" s="3"/>
      <c r="AF85" s="3"/>
      <c r="AG85" s="3"/>
      <c r="AH85" s="3"/>
      <c r="AX85" s="3"/>
      <c r="AY85" s="3"/>
      <c r="AZ85" s="3"/>
      <c r="BA85" s="3"/>
      <c r="BB85" s="3"/>
      <c r="BC85" s="5"/>
    </row>
    <row r="86" spans="1:55" x14ac:dyDescent="0.2">
      <c r="A86" s="23"/>
      <c r="B86" s="3"/>
      <c r="C86" s="3"/>
      <c r="D86" s="77">
        <f>3*AP58*(I96+N96+AI60*10)/(N96+AI60*10)-D89-D91</f>
        <v>34.288038760792432</v>
      </c>
      <c r="E86" s="77"/>
      <c r="F86" s="1" t="s">
        <v>0</v>
      </c>
      <c r="G86" s="3"/>
      <c r="H86" s="31"/>
      <c r="I86" s="32"/>
      <c r="J86" s="32">
        <v>3</v>
      </c>
      <c r="K86" s="32"/>
      <c r="L86" s="32"/>
      <c r="M86" s="32"/>
      <c r="N86" s="32"/>
      <c r="O86" s="32"/>
      <c r="P86" s="32"/>
      <c r="Q86" s="8"/>
      <c r="R86" s="10"/>
      <c r="S86" s="32"/>
      <c r="T86" s="32"/>
      <c r="U86" s="32"/>
      <c r="V86" s="32"/>
      <c r="W86" s="32"/>
      <c r="X86" s="32"/>
      <c r="Y86" s="32">
        <v>23</v>
      </c>
      <c r="Z86" s="32"/>
      <c r="AA86" s="33"/>
      <c r="AB86" s="3"/>
      <c r="AC86" s="3"/>
      <c r="AD86" s="3"/>
      <c r="AE86" s="3"/>
      <c r="AF86" s="3"/>
      <c r="AG86" s="3"/>
      <c r="AH86" s="3"/>
      <c r="AX86" s="3"/>
      <c r="AY86" s="3"/>
      <c r="AZ86" s="3"/>
      <c r="BA86" s="3"/>
      <c r="BB86" s="3"/>
      <c r="BC86" s="5"/>
    </row>
    <row r="87" spans="1:55" x14ac:dyDescent="0.2">
      <c r="A87" s="23"/>
      <c r="B87" s="3"/>
      <c r="C87" s="3"/>
      <c r="D87" s="3"/>
      <c r="E87" s="3"/>
      <c r="F87" s="3"/>
      <c r="G87" s="3"/>
      <c r="H87" s="31"/>
      <c r="I87" s="32"/>
      <c r="J87" s="32"/>
      <c r="K87" s="32"/>
      <c r="L87" s="32"/>
      <c r="M87" s="32"/>
      <c r="N87" s="32"/>
      <c r="O87" s="32"/>
      <c r="P87" s="32"/>
      <c r="Q87" s="8"/>
      <c r="R87" s="10"/>
      <c r="S87" s="73">
        <f>3*AP58-((D89+D86+D91)-3*AP58)*N96/I96-S89-S91</f>
        <v>24.818619830709139</v>
      </c>
      <c r="T87" s="74"/>
      <c r="U87" s="32" t="s">
        <v>0</v>
      </c>
      <c r="V87" s="32"/>
      <c r="W87" s="32"/>
      <c r="X87" s="32"/>
      <c r="Y87" s="32"/>
      <c r="Z87" s="32"/>
      <c r="AA87" s="33"/>
      <c r="AB87" s="3"/>
      <c r="AC87" s="3"/>
      <c r="AD87" s="3"/>
      <c r="AE87" s="3"/>
      <c r="AF87" s="3"/>
      <c r="AG87" s="3"/>
      <c r="AH87" s="3"/>
      <c r="AX87" s="3"/>
      <c r="AY87" s="3"/>
      <c r="AZ87" s="3"/>
      <c r="BA87" s="3"/>
      <c r="BB87" s="3"/>
      <c r="BC87" s="5"/>
    </row>
    <row r="88" spans="1:55" x14ac:dyDescent="0.2">
      <c r="A88" s="23"/>
      <c r="B88" s="3"/>
      <c r="C88" s="3"/>
      <c r="D88" s="3"/>
      <c r="E88" s="3"/>
      <c r="F88" s="3"/>
      <c r="G88" s="3"/>
      <c r="H88" s="31"/>
      <c r="I88" s="32"/>
      <c r="J88" s="32"/>
      <c r="K88" s="32"/>
      <c r="L88" s="32"/>
      <c r="M88" s="32"/>
      <c r="N88" s="32"/>
      <c r="O88" s="32"/>
      <c r="P88" s="32"/>
      <c r="Q88" s="8"/>
      <c r="R88" s="10"/>
      <c r="S88" s="32"/>
      <c r="T88" s="32"/>
      <c r="U88" s="32"/>
      <c r="V88" s="32"/>
      <c r="W88" s="32"/>
      <c r="X88" s="32"/>
      <c r="Y88" s="32"/>
      <c r="Z88" s="32"/>
      <c r="AA88" s="33"/>
      <c r="AB88" s="3"/>
      <c r="AC88" s="3"/>
      <c r="AD88" s="3"/>
      <c r="AE88" s="3"/>
      <c r="AF88" s="3"/>
      <c r="AG88" s="3"/>
      <c r="AH88" s="3"/>
      <c r="AX88" s="3"/>
      <c r="AY88" s="3"/>
      <c r="AZ88" s="3"/>
      <c r="BA88" s="3"/>
      <c r="BB88" s="3"/>
      <c r="BC88" s="5"/>
    </row>
    <row r="89" spans="1:55" x14ac:dyDescent="0.2">
      <c r="A89" s="23"/>
      <c r="B89" s="3"/>
      <c r="C89" s="3"/>
      <c r="D89" s="77">
        <f>2*AP58*(I96+N96+AI60*11)/(N96+AI60*11)-D91</f>
        <v>33.664553168934802</v>
      </c>
      <c r="E89" s="77"/>
      <c r="F89" s="1" t="s">
        <v>0</v>
      </c>
      <c r="G89" s="3"/>
      <c r="H89" s="31"/>
      <c r="I89" s="32"/>
      <c r="J89" s="32">
        <v>2</v>
      </c>
      <c r="K89" s="32"/>
      <c r="L89" s="32"/>
      <c r="M89" s="32"/>
      <c r="N89" s="32"/>
      <c r="O89" s="32"/>
      <c r="P89" s="32"/>
      <c r="Q89" s="8"/>
      <c r="R89" s="10"/>
      <c r="S89" s="73">
        <f>2*AP58-((D91+D89)-2*AP58)*N96/I96-S91</f>
        <v>25.571998254203784</v>
      </c>
      <c r="T89" s="74"/>
      <c r="U89" s="32" t="s">
        <v>0</v>
      </c>
      <c r="V89" s="32"/>
      <c r="W89" s="32"/>
      <c r="X89" s="32"/>
      <c r="Y89" s="32">
        <v>24</v>
      </c>
      <c r="Z89" s="32"/>
      <c r="AA89" s="33"/>
      <c r="AB89" s="3"/>
      <c r="AC89" s="3"/>
      <c r="AD89" s="3"/>
      <c r="AE89" s="3"/>
      <c r="AF89" s="3"/>
      <c r="AG89" s="3"/>
      <c r="AH89" s="3"/>
      <c r="AX89" s="3"/>
      <c r="AY89" s="3"/>
      <c r="AZ89" s="3"/>
      <c r="BA89" s="3"/>
      <c r="BB89" s="3"/>
      <c r="BC89" s="5"/>
    </row>
    <row r="90" spans="1:55" x14ac:dyDescent="0.2">
      <c r="A90" s="23"/>
      <c r="B90" s="3"/>
      <c r="C90" s="3"/>
      <c r="D90" s="3"/>
      <c r="E90" s="3"/>
      <c r="F90" s="3"/>
      <c r="G90" s="3"/>
      <c r="H90" s="31"/>
      <c r="I90" s="32"/>
      <c r="J90" s="32"/>
      <c r="K90" s="32"/>
      <c r="L90" s="32"/>
      <c r="M90" s="32"/>
      <c r="N90" s="32"/>
      <c r="O90" s="32"/>
      <c r="P90" s="32"/>
      <c r="Q90" s="8"/>
      <c r="R90" s="10"/>
      <c r="S90" s="32"/>
      <c r="T90" s="32"/>
      <c r="U90" s="32"/>
      <c r="V90" s="32"/>
      <c r="W90" s="32"/>
      <c r="X90" s="32"/>
      <c r="Y90" s="32"/>
      <c r="Z90" s="32"/>
      <c r="AA90" s="33"/>
      <c r="AB90" s="3"/>
      <c r="AC90" s="3"/>
      <c r="AD90" s="3"/>
      <c r="AE90" s="3"/>
      <c r="AF90" s="3"/>
      <c r="AG90" s="3"/>
      <c r="AH90" s="3"/>
      <c r="AX90" s="3"/>
      <c r="AY90" s="3"/>
      <c r="AZ90" s="3"/>
      <c r="BA90" s="3"/>
      <c r="BB90" s="3"/>
      <c r="BC90" s="5"/>
    </row>
    <row r="91" spans="1:55" x14ac:dyDescent="0.2">
      <c r="A91" s="23"/>
      <c r="B91" s="3"/>
      <c r="C91" s="3"/>
      <c r="D91" s="77">
        <f>1*AP58*(I96+N96+AI60*12)/(N96+AI60*12)</f>
        <v>33.167834776277971</v>
      </c>
      <c r="E91" s="77"/>
      <c r="F91" s="1" t="s">
        <v>0</v>
      </c>
      <c r="G91" s="3"/>
      <c r="H91" s="31"/>
      <c r="I91" s="32"/>
      <c r="J91" s="32">
        <v>1</v>
      </c>
      <c r="K91" s="32"/>
      <c r="L91" s="32"/>
      <c r="M91" s="32"/>
      <c r="N91" s="32"/>
      <c r="O91" s="32"/>
      <c r="P91" s="32"/>
      <c r="Q91" s="8"/>
      <c r="R91" s="10"/>
      <c r="S91" s="73">
        <f>AP58-(D91-AP58)*N96/I96</f>
        <v>26.172199645330785</v>
      </c>
      <c r="T91" s="74"/>
      <c r="U91" s="74" t="s">
        <v>0</v>
      </c>
      <c r="V91" s="32"/>
      <c r="W91" s="32"/>
      <c r="X91" s="32"/>
      <c r="Y91" s="32">
        <v>25</v>
      </c>
      <c r="Z91" s="32"/>
      <c r="AA91" s="33"/>
      <c r="AB91" s="3"/>
      <c r="AC91" s="3"/>
      <c r="AD91" s="3"/>
      <c r="AE91" s="3"/>
      <c r="AF91" s="3"/>
      <c r="AG91" s="3"/>
      <c r="AH91" s="3"/>
      <c r="AX91" s="3"/>
      <c r="AY91" s="3"/>
      <c r="AZ91" s="3"/>
      <c r="BA91" s="3"/>
      <c r="BB91" s="3"/>
      <c r="BC91" s="5"/>
    </row>
    <row r="92" spans="1:55" x14ac:dyDescent="0.2">
      <c r="A92" s="23"/>
      <c r="B92" s="3"/>
      <c r="C92" s="3"/>
      <c r="D92" s="3"/>
      <c r="E92" s="3"/>
      <c r="F92" s="3"/>
      <c r="G92" s="3"/>
      <c r="H92" s="35"/>
      <c r="I92" s="36"/>
      <c r="J92" s="36"/>
      <c r="K92" s="36"/>
      <c r="L92" s="36"/>
      <c r="M92" s="36"/>
      <c r="N92" s="36"/>
      <c r="O92" s="36"/>
      <c r="P92" s="36"/>
      <c r="Q92" s="11"/>
      <c r="R92" s="12"/>
      <c r="S92" s="75"/>
      <c r="T92" s="76"/>
      <c r="U92" s="76"/>
      <c r="V92" s="36"/>
      <c r="W92" s="36"/>
      <c r="X92" s="36"/>
      <c r="Y92" s="36"/>
      <c r="Z92" s="36"/>
      <c r="AA92" s="37"/>
      <c r="AB92" s="3"/>
      <c r="AC92" s="3"/>
      <c r="AD92" s="3"/>
      <c r="AE92" s="3"/>
      <c r="AF92" s="3"/>
      <c r="AG92" s="3"/>
      <c r="AH92" s="3"/>
      <c r="AX92" s="3"/>
      <c r="AY92" s="3"/>
      <c r="AZ92" s="3"/>
      <c r="BA92" s="3"/>
      <c r="BB92" s="3"/>
      <c r="BC92" s="5"/>
    </row>
    <row r="93" spans="1:55" x14ac:dyDescent="0.2">
      <c r="A93" s="2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1" t="s">
        <v>9</v>
      </c>
      <c r="AK93" s="77">
        <f>+AP58</f>
        <v>30</v>
      </c>
      <c r="AL93" s="77"/>
      <c r="AM93" s="1" t="s">
        <v>0</v>
      </c>
      <c r="AX93" s="3"/>
      <c r="AY93" s="3"/>
      <c r="AZ93" s="3"/>
      <c r="BA93" s="3"/>
      <c r="BB93" s="3"/>
      <c r="BC93" s="5"/>
    </row>
    <row r="94" spans="1:55" x14ac:dyDescent="0.2">
      <c r="A94" s="23"/>
      <c r="B94" s="3"/>
      <c r="C94" s="3"/>
      <c r="D94" s="3"/>
      <c r="E94" s="3"/>
      <c r="F94" s="3"/>
      <c r="G94" s="3"/>
      <c r="H94" s="3"/>
      <c r="I94" s="3"/>
      <c r="J94" s="3"/>
      <c r="K94" s="78">
        <v>120</v>
      </c>
      <c r="L94" s="78"/>
      <c r="M94" s="3" t="s">
        <v>0</v>
      </c>
      <c r="N94" s="3"/>
      <c r="O94" s="3"/>
      <c r="P94" s="3"/>
      <c r="Q94" s="78">
        <v>25</v>
      </c>
      <c r="R94" s="78"/>
      <c r="S94" s="3" t="s">
        <v>0</v>
      </c>
      <c r="T94" s="3"/>
      <c r="U94" s="3"/>
      <c r="V94" s="71">
        <f>+K94</f>
        <v>120</v>
      </c>
      <c r="W94" s="71"/>
      <c r="X94" s="3" t="s">
        <v>0</v>
      </c>
      <c r="Y94" s="3"/>
      <c r="Z94" s="3"/>
      <c r="AA94" s="3"/>
      <c r="AB94" s="3"/>
      <c r="AC94" s="3"/>
      <c r="AD94" s="3"/>
      <c r="AE94" s="3"/>
      <c r="AF94" s="3"/>
      <c r="AG94" s="3"/>
      <c r="AH94" s="3"/>
      <c r="AX94" s="3"/>
      <c r="AY94" s="3"/>
      <c r="AZ94" s="3"/>
      <c r="BA94" s="3"/>
      <c r="BB94" s="3"/>
      <c r="BC94" s="5"/>
    </row>
    <row r="95" spans="1:55" x14ac:dyDescent="0.2">
      <c r="A95" s="2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T95" s="3"/>
      <c r="AX95" s="3"/>
      <c r="AY95" s="3"/>
      <c r="AZ95" s="3"/>
      <c r="BA95" s="3"/>
      <c r="BB95" s="3"/>
      <c r="BC95" s="5"/>
    </row>
    <row r="96" spans="1:55" x14ac:dyDescent="0.2">
      <c r="A96" s="23"/>
      <c r="B96" s="3"/>
      <c r="C96" s="3"/>
      <c r="D96" s="3"/>
      <c r="E96" s="3"/>
      <c r="F96" s="3"/>
      <c r="G96" s="3"/>
      <c r="H96" s="3"/>
      <c r="I96" s="71">
        <f>+K94/2</f>
        <v>60</v>
      </c>
      <c r="J96" s="71"/>
      <c r="K96" s="3" t="s">
        <v>0</v>
      </c>
      <c r="L96" s="3"/>
      <c r="M96" s="3"/>
      <c r="N96" s="71">
        <f>+K94/2+Q94/2</f>
        <v>72.5</v>
      </c>
      <c r="O96" s="71"/>
      <c r="P96" s="3" t="s">
        <v>0</v>
      </c>
      <c r="Q96" s="3"/>
      <c r="R96" s="3"/>
      <c r="S96" s="3"/>
      <c r="T96" s="71">
        <f>+V94/2+Q94/2</f>
        <v>72.5</v>
      </c>
      <c r="U96" s="71"/>
      <c r="V96" s="3" t="s">
        <v>0</v>
      </c>
      <c r="W96" s="3"/>
      <c r="X96" s="3"/>
      <c r="Y96" s="71">
        <f>+V94/2</f>
        <v>60</v>
      </c>
      <c r="Z96" s="71"/>
      <c r="AA96" s="3" t="s">
        <v>0</v>
      </c>
      <c r="AB96" s="3"/>
      <c r="AC96" s="3"/>
      <c r="AD96" s="3"/>
      <c r="AE96" s="3"/>
      <c r="AF96" s="3"/>
      <c r="AG96" s="3"/>
      <c r="AH96" s="3"/>
      <c r="AT96" s="3"/>
      <c r="AX96" s="3"/>
      <c r="AY96" s="3"/>
      <c r="AZ96" s="3"/>
      <c r="BA96" s="3"/>
      <c r="BB96" s="3"/>
      <c r="BC96" s="5"/>
    </row>
    <row r="97" spans="1:101" x14ac:dyDescent="0.2">
      <c r="A97" s="2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 t="s">
        <v>21</v>
      </c>
      <c r="AO97" s="26"/>
      <c r="AP97" s="26"/>
      <c r="AQ97" s="25"/>
      <c r="AT97" s="3"/>
      <c r="AX97" s="3"/>
      <c r="AY97" s="3"/>
      <c r="AZ97" s="3"/>
      <c r="BA97" s="3"/>
      <c r="BB97" s="3"/>
      <c r="BC97" s="5"/>
    </row>
    <row r="98" spans="1:101" x14ac:dyDescent="0.2">
      <c r="A98" s="23"/>
      <c r="B98" s="3"/>
      <c r="C98" s="3"/>
      <c r="D98" s="3"/>
      <c r="E98" s="3"/>
      <c r="F98" s="3"/>
      <c r="G98" s="3"/>
      <c r="H98" s="3"/>
      <c r="I98" s="3"/>
      <c r="J98" s="3"/>
      <c r="K98" s="72">
        <f>+K94+Q94/2</f>
        <v>132.5</v>
      </c>
      <c r="L98" s="72"/>
      <c r="M98" s="72"/>
      <c r="N98" s="3" t="s">
        <v>0</v>
      </c>
      <c r="O98" s="3"/>
      <c r="P98" s="3"/>
      <c r="Q98" s="3"/>
      <c r="R98" s="3"/>
      <c r="S98" s="3"/>
      <c r="T98" s="3"/>
      <c r="U98" s="71">
        <f>+K98</f>
        <v>132.5</v>
      </c>
      <c r="V98" s="71"/>
      <c r="W98" s="71"/>
      <c r="X98" s="3" t="s">
        <v>0</v>
      </c>
      <c r="Y98" s="3"/>
      <c r="Z98" s="3"/>
      <c r="AA98" s="3"/>
      <c r="AB98" s="3"/>
      <c r="AC98" s="3"/>
      <c r="AD98" s="3"/>
      <c r="AE98" s="3"/>
      <c r="AF98" s="3"/>
      <c r="AG98" s="3"/>
      <c r="AH98" s="3"/>
      <c r="AX98" s="3"/>
      <c r="AY98" s="3"/>
      <c r="AZ98" s="3"/>
      <c r="BA98" s="3"/>
      <c r="BB98" s="3"/>
      <c r="BC98" s="5"/>
    </row>
    <row r="99" spans="1:101" x14ac:dyDescent="0.2">
      <c r="A99" s="2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X99" s="3"/>
      <c r="AY99" s="3"/>
      <c r="AZ99" s="3"/>
      <c r="BA99" s="3"/>
      <c r="BB99" s="3"/>
      <c r="BC99" s="5"/>
    </row>
    <row r="100" spans="1:101" x14ac:dyDescent="0.2">
      <c r="A100" s="2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71">
        <f>+K94+Q94+V94</f>
        <v>265</v>
      </c>
      <c r="R100" s="71"/>
      <c r="S100" s="3" t="s">
        <v>0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X100" s="3"/>
      <c r="AY100" s="3"/>
      <c r="AZ100" s="3"/>
      <c r="BA100" s="3"/>
      <c r="BB100" s="3"/>
      <c r="BC100" s="5"/>
    </row>
    <row r="101" spans="1:101" ht="12" thickBot="1" x14ac:dyDescent="0.25">
      <c r="A101" s="23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5"/>
    </row>
    <row r="102" spans="1:101" ht="12" customHeight="1" thickBot="1" x14ac:dyDescent="0.25"/>
    <row r="103" spans="1:101" ht="48.75" customHeight="1" x14ac:dyDescent="0.2">
      <c r="A103" s="18"/>
      <c r="B103" s="89" t="s">
        <v>35</v>
      </c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6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</row>
    <row r="104" spans="1:101" x14ac:dyDescent="0.2">
      <c r="A104" s="5"/>
      <c r="B104" s="2"/>
      <c r="C104" s="3"/>
      <c r="D104" s="3"/>
      <c r="E104" s="3"/>
      <c r="F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16" t="s">
        <v>5</v>
      </c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18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</row>
    <row r="105" spans="1:101" x14ac:dyDescent="0.2">
      <c r="A105" s="5"/>
      <c r="B105" s="2"/>
      <c r="C105" s="3"/>
      <c r="D105" s="3"/>
      <c r="E105" s="3"/>
      <c r="F105" s="3"/>
      <c r="G105" s="3"/>
      <c r="H105" s="3"/>
      <c r="I105" s="3"/>
      <c r="J105" s="3"/>
      <c r="K105" s="71">
        <f>+K147</f>
        <v>132.5</v>
      </c>
      <c r="L105" s="71"/>
      <c r="M105" s="71"/>
      <c r="N105" s="3" t="s">
        <v>0</v>
      </c>
      <c r="O105" s="3"/>
      <c r="P105" s="3"/>
      <c r="Q105" s="3"/>
      <c r="R105" s="3"/>
      <c r="S105" s="3"/>
      <c r="T105" s="3"/>
      <c r="U105" s="71">
        <f>+K105</f>
        <v>132.5</v>
      </c>
      <c r="V105" s="71"/>
      <c r="W105" s="71"/>
      <c r="X105" s="3" t="s">
        <v>0</v>
      </c>
      <c r="Y105" s="3"/>
      <c r="Z105" s="16"/>
      <c r="AA105" s="3"/>
      <c r="AB105" s="3"/>
      <c r="AC105" s="3"/>
      <c r="AD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5"/>
      <c r="CR105" s="3"/>
    </row>
    <row r="106" spans="1:101" x14ac:dyDescent="0.2">
      <c r="A106" s="5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5"/>
      <c r="CR106" s="3"/>
    </row>
    <row r="107" spans="1:101" x14ac:dyDescent="0.2">
      <c r="A107" s="5"/>
      <c r="B107" s="2"/>
      <c r="C107" s="3"/>
      <c r="D107" s="3"/>
      <c r="E107" s="3"/>
      <c r="F107" s="3"/>
      <c r="H107" s="71">
        <f>+K105-K107-O107</f>
        <v>17.711421451481883</v>
      </c>
      <c r="I107" s="71"/>
      <c r="J107" s="3" t="s">
        <v>0</v>
      </c>
      <c r="K107" s="71">
        <f>(N145*SIN((2*AO107*360/(2*PI()*N145))*PI()/180))*((AC115-(N145*COS((2*AO107*360/(2*PI()*N145))*PI()/180)))+((N145*COS((2*AO107*360/(2*PI()*N145))*PI()/180))-M120+S120+S122))/((N145*COS((2*AO107*360/(2*PI()*N145))*PI()/180))-M120+S120+S122)-O107</f>
        <v>62.136546764312087</v>
      </c>
      <c r="L107" s="71"/>
      <c r="M107" s="3" t="s">
        <v>0</v>
      </c>
      <c r="N107" s="3"/>
      <c r="O107" s="71">
        <f>((N145*SIN((AO107*360/(2*PI()*N145))*PI()/180))-Q117)/((N145*COS((AO107*360/(2*PI()*N145))*PI()/180))-M120)*(I145+N145-(N145*COS((AO107*360/(2*PI()*N145))*PI()/180)))+(N145*SIN((AO107*360/(2*PI()*N145))*PI()/180))</f>
        <v>52.652031784206031</v>
      </c>
      <c r="P107" s="71"/>
      <c r="Q107" s="3" t="s">
        <v>0</v>
      </c>
      <c r="R107" s="3"/>
      <c r="S107" s="71">
        <f>+O107</f>
        <v>52.652031784206031</v>
      </c>
      <c r="T107" s="71"/>
      <c r="U107" s="3" t="s">
        <v>0</v>
      </c>
      <c r="V107" s="71">
        <f>+K107</f>
        <v>62.136546764312087</v>
      </c>
      <c r="W107" s="71"/>
      <c r="X107" s="3" t="s">
        <v>0</v>
      </c>
      <c r="Z107" s="71">
        <f>+H107</f>
        <v>17.711421451481883</v>
      </c>
      <c r="AA107" s="71"/>
      <c r="AB107" s="3" t="s">
        <v>0</v>
      </c>
      <c r="AD107" s="3"/>
      <c r="AE107" s="3"/>
      <c r="AF107" s="3"/>
      <c r="AG107" s="3"/>
      <c r="AH107" s="3" t="s">
        <v>1</v>
      </c>
      <c r="AI107" s="3"/>
      <c r="AJ107" s="3"/>
      <c r="AK107" s="3"/>
      <c r="AL107" s="3"/>
      <c r="AM107" s="3"/>
      <c r="AN107" s="3"/>
      <c r="AO107" s="78">
        <v>30</v>
      </c>
      <c r="AP107" s="78"/>
      <c r="AQ107" s="3" t="s">
        <v>0</v>
      </c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5"/>
      <c r="BG107" s="27" t="s">
        <v>22</v>
      </c>
      <c r="CR107" s="3"/>
    </row>
    <row r="108" spans="1:101" x14ac:dyDescent="0.2">
      <c r="A108" s="5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 t="s">
        <v>3</v>
      </c>
      <c r="AI108" s="3"/>
      <c r="AJ108" s="3"/>
      <c r="AK108" s="3"/>
      <c r="AL108" s="3"/>
      <c r="AM108" s="3"/>
      <c r="AN108" s="9">
        <v>24</v>
      </c>
      <c r="AO108" s="3" t="s">
        <v>4</v>
      </c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5"/>
      <c r="BG108" s="3" t="s">
        <v>18</v>
      </c>
      <c r="BH108" s="3"/>
      <c r="BI108" s="3"/>
      <c r="BJ108" s="3"/>
      <c r="BK108" s="3"/>
      <c r="BL108" s="78">
        <v>4</v>
      </c>
      <c r="BM108" s="78"/>
      <c r="BN108" s="3" t="s">
        <v>10</v>
      </c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CR108" s="3"/>
    </row>
    <row r="109" spans="1:101" x14ac:dyDescent="0.2">
      <c r="A109" s="5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82">
        <f>O107*(AC129+M120-S120)/(AC115-M120+S120)</f>
        <v>81.921265520720183</v>
      </c>
      <c r="AI109" s="82"/>
      <c r="AJ109" s="82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5"/>
      <c r="BG109" s="21" t="s">
        <v>6</v>
      </c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CO109" s="3"/>
      <c r="CR109" s="3"/>
    </row>
    <row r="110" spans="1:101" x14ac:dyDescent="0.2">
      <c r="A110" s="5"/>
      <c r="B110" s="2"/>
      <c r="C110" s="3"/>
      <c r="D110" s="3"/>
      <c r="E110" s="3"/>
      <c r="F110" s="3"/>
      <c r="G110" s="3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1"/>
      <c r="AB110" s="3"/>
      <c r="AC110" s="3"/>
      <c r="AD110" s="3"/>
      <c r="AE110" s="3"/>
      <c r="AF110" s="3"/>
      <c r="AG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5"/>
      <c r="BG110" s="3" t="s">
        <v>7</v>
      </c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CR110" s="3"/>
    </row>
    <row r="111" spans="1:101" x14ac:dyDescent="0.2">
      <c r="A111" s="5"/>
      <c r="B111" s="2"/>
      <c r="C111" s="3"/>
      <c r="D111" s="71">
        <f>+C125-D115-D120-D124-D127-D129-D132-D137-D140-D134</f>
        <v>54.253730940315322</v>
      </c>
      <c r="E111" s="71"/>
      <c r="F111" s="3" t="s">
        <v>0</v>
      </c>
      <c r="G111" s="3"/>
      <c r="H111" s="62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4"/>
      <c r="AB111" s="3"/>
      <c r="AC111" s="3"/>
      <c r="AD111" s="3"/>
      <c r="AE111" s="3"/>
      <c r="AF111" s="3"/>
      <c r="AG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5"/>
      <c r="BG111" s="3" t="s">
        <v>8</v>
      </c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</row>
    <row r="112" spans="1:101" x14ac:dyDescent="0.2">
      <c r="A112" s="5"/>
      <c r="B112" s="2"/>
      <c r="C112" s="3"/>
      <c r="D112" s="3"/>
      <c r="E112" s="3"/>
      <c r="F112" s="3"/>
      <c r="G112" s="3"/>
      <c r="H112" s="62"/>
      <c r="I112" s="63"/>
      <c r="J112" s="63"/>
      <c r="K112" s="63"/>
      <c r="L112" s="63"/>
      <c r="M112" s="63"/>
      <c r="N112" s="63"/>
      <c r="O112" s="63"/>
      <c r="P112" s="63">
        <v>12</v>
      </c>
      <c r="Q112" s="63"/>
      <c r="R112" s="63"/>
      <c r="S112" s="63">
        <v>13</v>
      </c>
      <c r="T112" s="63"/>
      <c r="U112" s="63"/>
      <c r="V112" s="63">
        <v>14</v>
      </c>
      <c r="W112" s="63"/>
      <c r="X112" s="63"/>
      <c r="Y112" s="63"/>
      <c r="Z112" s="63"/>
      <c r="AA112" s="64"/>
      <c r="AB112" s="3"/>
      <c r="AC112" s="3"/>
      <c r="AD112" s="3"/>
      <c r="AE112" s="3"/>
      <c r="AF112" s="3"/>
      <c r="AG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5"/>
      <c r="BG112" s="3" t="s">
        <v>9</v>
      </c>
      <c r="BH112" s="3"/>
      <c r="BI112" s="71">
        <f>0.63-2*BI113</f>
        <v>0.29666666666666669</v>
      </c>
      <c r="BJ112" s="71"/>
      <c r="BK112" s="71"/>
      <c r="BL112" s="3" t="s">
        <v>10</v>
      </c>
      <c r="BM112" s="3" t="s">
        <v>11</v>
      </c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CP112" s="3"/>
      <c r="CQ112" s="3"/>
      <c r="CR112" s="3"/>
      <c r="CS112" s="3"/>
      <c r="CT112" s="3"/>
      <c r="CU112" s="3"/>
      <c r="CV112" s="3"/>
      <c r="CW112" s="3"/>
    </row>
    <row r="113" spans="1:77" x14ac:dyDescent="0.2">
      <c r="A113" s="5"/>
      <c r="B113" s="2"/>
      <c r="C113" s="3"/>
      <c r="D113" s="3"/>
      <c r="E113" s="3"/>
      <c r="F113" s="3"/>
      <c r="G113" s="3"/>
      <c r="H113" s="62"/>
      <c r="I113" s="63"/>
      <c r="J113" s="63"/>
      <c r="K113" s="63"/>
      <c r="L113" s="63"/>
      <c r="M113" s="63">
        <v>11</v>
      </c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4"/>
      <c r="AB113" s="3"/>
      <c r="AC113" s="79" t="s">
        <v>0</v>
      </c>
      <c r="AD113" s="3"/>
      <c r="AE113" s="79" t="s">
        <v>0</v>
      </c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5"/>
      <c r="BG113" s="3" t="s">
        <v>12</v>
      </c>
      <c r="BH113" s="3"/>
      <c r="BI113" s="71">
        <f>BL108/BL114</f>
        <v>0.16666666666666666</v>
      </c>
      <c r="BJ113" s="71"/>
      <c r="BK113" s="71"/>
      <c r="BL113" s="3" t="s">
        <v>10</v>
      </c>
      <c r="BM113" s="3" t="s">
        <v>13</v>
      </c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</row>
    <row r="114" spans="1:77" x14ac:dyDescent="0.2">
      <c r="A114" s="5"/>
      <c r="B114" s="2"/>
      <c r="C114" s="3"/>
      <c r="D114" s="3"/>
      <c r="E114" s="3"/>
      <c r="F114" s="3"/>
      <c r="G114" s="3"/>
      <c r="H114" s="62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>
        <v>15</v>
      </c>
      <c r="Y114" s="63"/>
      <c r="Z114" s="63"/>
      <c r="AA114" s="64"/>
      <c r="AB114" s="3"/>
      <c r="AC114" s="79"/>
      <c r="AD114" s="3"/>
      <c r="AE114" s="79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5"/>
      <c r="BG114" s="3" t="s">
        <v>14</v>
      </c>
      <c r="BH114" s="3"/>
      <c r="BI114" s="3"/>
      <c r="BJ114" s="3"/>
      <c r="BK114" s="3"/>
      <c r="BL114" s="72">
        <v>24</v>
      </c>
      <c r="BM114" s="72"/>
      <c r="BN114" s="3" t="s">
        <v>4</v>
      </c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</row>
    <row r="115" spans="1:77" x14ac:dyDescent="0.2">
      <c r="A115" s="5"/>
      <c r="B115" s="2"/>
      <c r="C115" s="3"/>
      <c r="D115" s="71">
        <f>((S124+S125+S127+S129+S131+S133+S135+S138+S140)*(K147+3*AH109)/(3*AH109))-((S125+S127+S129+S131+S133+S135+S138+S140)*(K147+4*AH109)/(4*AH109))</f>
        <v>48.380183252283189</v>
      </c>
      <c r="E115" s="71"/>
      <c r="F115" s="3" t="s">
        <v>0</v>
      </c>
      <c r="G115" s="3"/>
      <c r="H115" s="62"/>
      <c r="I115" s="63"/>
      <c r="J115" s="63"/>
      <c r="K115" s="63">
        <v>10</v>
      </c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4"/>
      <c r="AB115" s="3"/>
      <c r="AC115" s="79">
        <f>+K143+Q143/2</f>
        <v>132.5</v>
      </c>
      <c r="AD115" s="3"/>
      <c r="AE115" s="79">
        <f>+C125-AE129</f>
        <v>120</v>
      </c>
      <c r="AF115" s="3"/>
      <c r="AG115" s="3"/>
      <c r="AH115" s="3"/>
      <c r="AI115" s="3"/>
      <c r="AJ115" s="3"/>
      <c r="AK115" s="3"/>
      <c r="AL115" s="3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23"/>
      <c r="BG115" s="3">
        <v>2</v>
      </c>
      <c r="BH115" s="51" t="s">
        <v>15</v>
      </c>
      <c r="BI115" s="71">
        <f>+BI113</f>
        <v>0.16666666666666666</v>
      </c>
      <c r="BJ115" s="71"/>
      <c r="BK115" s="71"/>
      <c r="BL115" s="51" t="s">
        <v>16</v>
      </c>
      <c r="BM115" s="71">
        <f>+BI112</f>
        <v>0.29666666666666669</v>
      </c>
      <c r="BN115" s="71"/>
      <c r="BO115" s="71"/>
      <c r="BP115" s="51" t="s">
        <v>17</v>
      </c>
      <c r="BQ115" s="71">
        <f>+BG115*BI115+BM115</f>
        <v>0.63</v>
      </c>
      <c r="BR115" s="71"/>
      <c r="BS115" s="71"/>
      <c r="BT115" s="3" t="s">
        <v>10</v>
      </c>
      <c r="BU115" s="3"/>
      <c r="BV115" s="16" t="str">
        <f>IF(BQ115=0.63,"uygun.","uygun değil.")</f>
        <v>uygun.</v>
      </c>
      <c r="BW115" s="3"/>
      <c r="BX115" s="3"/>
      <c r="BY115" s="3"/>
    </row>
    <row r="116" spans="1:77" x14ac:dyDescent="0.2">
      <c r="A116" s="5"/>
      <c r="B116" s="2"/>
      <c r="C116" s="3"/>
      <c r="D116" s="3"/>
      <c r="E116" s="3"/>
      <c r="F116" s="3"/>
      <c r="G116" s="3"/>
      <c r="H116" s="62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4"/>
      <c r="AB116" s="3"/>
      <c r="AC116" s="79"/>
      <c r="AD116" s="3"/>
      <c r="AE116" s="79"/>
      <c r="AF116" s="3"/>
      <c r="AG116" s="3"/>
      <c r="AH116" s="3"/>
      <c r="AI116" s="3"/>
      <c r="AJ116" s="3"/>
      <c r="AK116" s="3"/>
      <c r="AL116" s="3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23"/>
    </row>
    <row r="117" spans="1:77" x14ac:dyDescent="0.2">
      <c r="A117" s="5"/>
      <c r="B117" s="2"/>
      <c r="C117" s="3"/>
      <c r="D117" s="3"/>
      <c r="E117" s="3"/>
      <c r="F117" s="3"/>
      <c r="G117" s="3"/>
      <c r="H117" s="62"/>
      <c r="I117" s="63"/>
      <c r="J117" s="63"/>
      <c r="K117" s="63"/>
      <c r="L117" s="63"/>
      <c r="M117" s="63"/>
      <c r="N117" s="63"/>
      <c r="O117" s="63"/>
      <c r="P117" s="63"/>
      <c r="Q117" s="69">
        <v>10</v>
      </c>
      <c r="R117" s="63" t="s">
        <v>0</v>
      </c>
      <c r="S117" s="63"/>
      <c r="T117" s="63"/>
      <c r="U117" s="63"/>
      <c r="V117" s="63"/>
      <c r="W117" s="63"/>
      <c r="X117" s="63"/>
      <c r="Y117" s="63"/>
      <c r="Z117" s="63"/>
      <c r="AA117" s="64"/>
      <c r="AB117" s="3"/>
      <c r="AC117" s="79"/>
      <c r="AD117" s="3"/>
      <c r="AE117" s="79"/>
      <c r="AF117" s="3"/>
      <c r="AG117" s="3"/>
      <c r="AH117" s="3"/>
      <c r="AI117" s="3"/>
      <c r="AJ117" s="3"/>
      <c r="AK117" s="3"/>
      <c r="AL117" s="3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23"/>
    </row>
    <row r="118" spans="1:77" x14ac:dyDescent="0.2">
      <c r="A118" s="5"/>
      <c r="B118" s="2"/>
      <c r="C118" s="3"/>
      <c r="D118" s="3"/>
      <c r="E118" s="3"/>
      <c r="F118" s="3"/>
      <c r="G118" s="3"/>
      <c r="H118" s="62"/>
      <c r="I118" s="63"/>
      <c r="J118" s="63">
        <v>9</v>
      </c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>
        <v>16</v>
      </c>
      <c r="Z118" s="63"/>
      <c r="AA118" s="64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23"/>
      <c r="BG118" s="1" t="s">
        <v>19</v>
      </c>
    </row>
    <row r="119" spans="1:77" x14ac:dyDescent="0.2">
      <c r="A119" s="5"/>
      <c r="B119" s="2"/>
      <c r="C119" s="3"/>
      <c r="D119" s="3"/>
      <c r="E119" s="3"/>
      <c r="F119" s="3"/>
      <c r="G119" s="3"/>
      <c r="H119" s="62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4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9"/>
      <c r="AU119" s="9"/>
      <c r="AV119" s="9"/>
      <c r="AW119" s="9"/>
      <c r="AX119" s="9"/>
      <c r="AY119" s="9"/>
      <c r="AZ119" s="9"/>
      <c r="BA119" s="9"/>
      <c r="BB119" s="9"/>
      <c r="BC119" s="23"/>
      <c r="BG119" s="4" t="s">
        <v>2</v>
      </c>
    </row>
    <row r="120" spans="1:77" x14ac:dyDescent="0.2">
      <c r="A120" s="5"/>
      <c r="B120" s="2"/>
      <c r="D120" s="71">
        <f>8*AO107*(I145+N145+AH109*4)/(N145+AH109*4)-D132-D129-D127-D124-D137-D140-D134</f>
        <v>39.848038640188676</v>
      </c>
      <c r="E120" s="71"/>
      <c r="F120" s="3" t="s">
        <v>0</v>
      </c>
      <c r="G120" s="3"/>
      <c r="H120" s="62"/>
      <c r="I120" s="63"/>
      <c r="J120" s="63"/>
      <c r="K120" s="63"/>
      <c r="L120" s="63"/>
      <c r="M120" s="84">
        <f>+Q143/2</f>
        <v>12.5</v>
      </c>
      <c r="N120" s="84"/>
      <c r="O120" s="63"/>
      <c r="P120" s="63"/>
      <c r="Q120" s="53"/>
      <c r="R120" s="54"/>
      <c r="S120" s="87">
        <f>((N145*COS((AO107*360/(2*PI()*N145))*PI()/180))-M120)*Q117/((N145*SIN((AO107*360/(2*PI()*N145))*PI()/180))-Q117)</f>
        <v>28.134650327358091</v>
      </c>
      <c r="T120" s="88"/>
      <c r="U120" s="84" t="s">
        <v>0</v>
      </c>
      <c r="V120" s="63"/>
      <c r="W120" s="63"/>
      <c r="X120" s="63"/>
      <c r="Y120" s="63"/>
      <c r="Z120" s="63"/>
      <c r="AA120" s="64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9"/>
      <c r="AU120" s="9"/>
      <c r="AV120" s="9"/>
      <c r="AW120" s="9"/>
      <c r="AX120" s="9"/>
      <c r="AY120" s="9"/>
      <c r="AZ120" s="9"/>
      <c r="BA120" s="9"/>
      <c r="BB120" s="9"/>
      <c r="BC120" s="23"/>
    </row>
    <row r="121" spans="1:77" x14ac:dyDescent="0.2">
      <c r="A121" s="5"/>
      <c r="B121" s="2"/>
      <c r="D121" s="3"/>
      <c r="E121" s="3"/>
      <c r="F121" s="3"/>
      <c r="G121" s="3"/>
      <c r="H121" s="62"/>
      <c r="I121" s="63"/>
      <c r="J121" s="63">
        <v>8</v>
      </c>
      <c r="K121" s="63"/>
      <c r="L121" s="63"/>
      <c r="M121" s="63"/>
      <c r="N121" s="63"/>
      <c r="O121" s="63"/>
      <c r="P121" s="63"/>
      <c r="Q121" s="55"/>
      <c r="R121" s="56"/>
      <c r="S121" s="87"/>
      <c r="T121" s="88"/>
      <c r="U121" s="84"/>
      <c r="V121" s="63"/>
      <c r="W121" s="63"/>
      <c r="X121" s="63"/>
      <c r="Y121" s="63">
        <v>17</v>
      </c>
      <c r="Z121" s="63"/>
      <c r="AA121" s="64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9"/>
      <c r="AU121" s="9"/>
      <c r="AV121" s="9"/>
      <c r="AW121" s="9"/>
      <c r="AX121" s="9"/>
      <c r="AY121" s="9"/>
      <c r="AZ121" s="9"/>
      <c r="BA121" s="9"/>
      <c r="BB121" s="9"/>
      <c r="BC121" s="23"/>
      <c r="BG121" s="1" t="s">
        <v>20</v>
      </c>
    </row>
    <row r="122" spans="1:77" x14ac:dyDescent="0.2">
      <c r="A122" s="5"/>
      <c r="B122" s="2"/>
      <c r="D122" s="3"/>
      <c r="E122" s="3"/>
      <c r="F122" s="3"/>
      <c r="G122" s="3"/>
      <c r="H122" s="62"/>
      <c r="I122" s="63"/>
      <c r="J122" s="63"/>
      <c r="K122" s="63"/>
      <c r="L122" s="63"/>
      <c r="M122" s="63"/>
      <c r="N122" s="63"/>
      <c r="O122" s="63"/>
      <c r="P122" s="63"/>
      <c r="Q122" s="55"/>
      <c r="R122" s="56"/>
      <c r="S122" s="83">
        <f>(N145*SIN((2*AO107*360/(2*PI()*N145))*PI()/180))*((N145*COS((2*AO107*360/(2*PI()*N145))*PI()/180))+AC129)/((N145*SIN((2*AO107*360/(2*PI()*N145))*PI()/180))+2*AH109)-(N145*COS((2*AO107*360/(2*PI()*N145))*PI()/180))+M120-S120</f>
        <v>7.8455554626813289</v>
      </c>
      <c r="T122" s="84"/>
      <c r="U122" s="63" t="s">
        <v>0</v>
      </c>
      <c r="V122" s="63"/>
      <c r="W122" s="63"/>
      <c r="X122" s="63"/>
      <c r="Y122" s="63"/>
      <c r="Z122" s="63"/>
      <c r="AA122" s="64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M122" s="3"/>
      <c r="AN122" s="3"/>
      <c r="AO122" s="3"/>
      <c r="AP122" s="3"/>
      <c r="AQ122" s="3"/>
      <c r="AR122" s="3"/>
      <c r="AS122" s="3"/>
      <c r="AT122" s="9"/>
      <c r="AU122" s="9"/>
      <c r="AV122" s="9"/>
      <c r="AW122" s="9"/>
      <c r="AX122" s="9"/>
      <c r="AY122" s="9"/>
      <c r="AZ122" s="9"/>
      <c r="BA122" s="9"/>
      <c r="BB122" s="9"/>
      <c r="BC122" s="23"/>
    </row>
    <row r="123" spans="1:77" x14ac:dyDescent="0.2">
      <c r="A123" s="5"/>
      <c r="B123" s="2"/>
      <c r="C123" s="79" t="s">
        <v>0</v>
      </c>
      <c r="D123" s="3"/>
      <c r="E123" s="3"/>
      <c r="F123" s="3"/>
      <c r="G123" s="3"/>
      <c r="H123" s="62"/>
      <c r="I123" s="63"/>
      <c r="J123" s="63"/>
      <c r="K123" s="63"/>
      <c r="L123" s="63"/>
      <c r="M123" s="63"/>
      <c r="N123" s="63"/>
      <c r="O123" s="63"/>
      <c r="P123" s="63"/>
      <c r="Q123" s="55"/>
      <c r="R123" s="56"/>
      <c r="S123" s="83">
        <f>(N145*SIN((3*AO107*360/(2*PI()*N145))*PI()/180))*((N145*COS((3*AO107*360/(2*PI()*N145))*PI()/180))+AC129)/((N145*SIN((3*AO107*360/(2*PI()*N145))*PI()/180))+3*AH109)-(N145*COS((3*AO107*360/(2*PI()*N145))*PI()/180))-S122+M120-S120</f>
        <v>11.893091248698536</v>
      </c>
      <c r="T123" s="84"/>
      <c r="U123" s="63" t="s">
        <v>0</v>
      </c>
      <c r="V123" s="63"/>
      <c r="W123" s="63"/>
      <c r="X123" s="63"/>
      <c r="Y123" s="63"/>
      <c r="Z123" s="63"/>
      <c r="AA123" s="64"/>
      <c r="AB123" s="3"/>
      <c r="AC123" s="3"/>
      <c r="AD123" s="3"/>
      <c r="AF123" s="3"/>
      <c r="AG123" s="3"/>
      <c r="AH123" s="3"/>
      <c r="AI123" s="3"/>
      <c r="AJ123" s="3"/>
      <c r="AK123" s="3"/>
      <c r="AM123" s="3"/>
      <c r="AN123" s="3"/>
      <c r="AO123" s="3"/>
      <c r="AP123" s="3"/>
      <c r="AQ123" s="3"/>
      <c r="AR123" s="3"/>
      <c r="AS123" s="3"/>
      <c r="AT123" s="9"/>
      <c r="AU123" s="9"/>
      <c r="AV123" s="9"/>
      <c r="AW123" s="9"/>
      <c r="AX123" s="9"/>
      <c r="AY123" s="9"/>
      <c r="AZ123" s="9"/>
      <c r="BA123" s="9"/>
      <c r="BB123" s="9"/>
      <c r="BC123" s="23"/>
    </row>
    <row r="124" spans="1:77" x14ac:dyDescent="0.2">
      <c r="A124" s="5"/>
      <c r="B124" s="2"/>
      <c r="C124" s="79"/>
      <c r="D124" s="71">
        <f>7*AO107*(I145+N145+AH109*5)/(N145+AH109*5)-D132-D129-D127-D137-D140-D134</f>
        <v>36.987314100694888</v>
      </c>
      <c r="E124" s="71"/>
      <c r="F124" s="3" t="s">
        <v>0</v>
      </c>
      <c r="G124" s="3"/>
      <c r="H124" s="62"/>
      <c r="I124" s="63"/>
      <c r="J124" s="63">
        <v>7</v>
      </c>
      <c r="K124" s="63"/>
      <c r="L124" s="63"/>
      <c r="M124" s="63"/>
      <c r="N124" s="63"/>
      <c r="O124" s="63"/>
      <c r="P124" s="63"/>
      <c r="Q124" s="55"/>
      <c r="R124" s="56"/>
      <c r="S124" s="83">
        <f>+AC129+M120-S120-S122-S123-S125-S127-S129-S131-S133-S135-S138-S140</f>
        <v>14.223853073980877</v>
      </c>
      <c r="T124" s="84"/>
      <c r="U124" s="63" t="s">
        <v>0</v>
      </c>
      <c r="V124" s="63"/>
      <c r="W124" s="63"/>
      <c r="X124" s="63"/>
      <c r="Y124" s="63">
        <v>18</v>
      </c>
      <c r="Z124" s="63"/>
      <c r="AA124" s="64"/>
      <c r="AB124" s="3"/>
      <c r="AD124" s="3"/>
      <c r="AF124" s="3"/>
      <c r="AH124" s="3"/>
      <c r="AI124" s="3"/>
      <c r="AJ124" s="3"/>
      <c r="AK124" s="3"/>
      <c r="AM124" s="3"/>
      <c r="AN124" s="3"/>
      <c r="AO124" s="3"/>
      <c r="AP124" s="3"/>
      <c r="AQ124" s="3"/>
      <c r="AR124" s="3"/>
      <c r="AS124" s="3"/>
      <c r="AT124" s="9"/>
      <c r="AU124" s="9"/>
      <c r="AV124" s="9"/>
      <c r="AW124" s="9"/>
      <c r="AX124" s="9"/>
      <c r="AY124" s="9"/>
      <c r="AZ124" s="9"/>
      <c r="BA124" s="9"/>
      <c r="BB124" s="9"/>
      <c r="BC124" s="23"/>
    </row>
    <row r="125" spans="1:77" x14ac:dyDescent="0.2">
      <c r="A125" s="5"/>
      <c r="B125" s="2"/>
      <c r="C125" s="79">
        <f>+AC115+AC129</f>
        <v>378.61726630737002</v>
      </c>
      <c r="D125" s="3"/>
      <c r="E125" s="3"/>
      <c r="F125" s="3"/>
      <c r="G125" s="3"/>
      <c r="H125" s="62"/>
      <c r="I125" s="63"/>
      <c r="J125" s="63"/>
      <c r="K125" s="63"/>
      <c r="L125" s="63"/>
      <c r="M125" s="63"/>
      <c r="N125" s="63"/>
      <c r="O125" s="63"/>
      <c r="P125" s="63"/>
      <c r="Q125" s="55"/>
      <c r="R125" s="56"/>
      <c r="S125" s="83">
        <f>8*AO107-((D132+D129+D127+D124+D120+D137+D140+D134)-8*AO107)*N145/I145-S133-S131-S129-S127-S135-S138-S140</f>
        <v>18.100286643105335</v>
      </c>
      <c r="T125" s="84"/>
      <c r="U125" s="84" t="s">
        <v>0</v>
      </c>
      <c r="V125" s="63"/>
      <c r="W125" s="63"/>
      <c r="X125" s="63"/>
      <c r="Y125" s="63"/>
      <c r="Z125" s="63"/>
      <c r="AA125" s="64"/>
      <c r="AB125" s="3"/>
      <c r="AF125" s="3"/>
      <c r="AK125" s="3"/>
      <c r="AM125" s="3"/>
      <c r="AN125" s="3"/>
      <c r="AO125" s="3"/>
      <c r="AP125" s="3"/>
      <c r="AQ125" s="3"/>
      <c r="AR125" s="3"/>
      <c r="AS125" s="3"/>
      <c r="AT125" s="9"/>
      <c r="AU125" s="9"/>
      <c r="AV125" s="9"/>
      <c r="AW125" s="9"/>
      <c r="AX125" s="9"/>
      <c r="AY125" s="9"/>
      <c r="AZ125" s="9"/>
      <c r="BA125" s="9"/>
      <c r="BB125" s="9"/>
      <c r="BC125" s="23"/>
    </row>
    <row r="126" spans="1:77" x14ac:dyDescent="0.2">
      <c r="A126" s="5"/>
      <c r="B126" s="2"/>
      <c r="C126" s="79"/>
      <c r="D126" s="3"/>
      <c r="E126" s="3"/>
      <c r="F126" s="3"/>
      <c r="G126" s="3"/>
      <c r="H126" s="62"/>
      <c r="I126" s="63"/>
      <c r="J126" s="63"/>
      <c r="K126" s="63"/>
      <c r="L126" s="63"/>
      <c r="M126" s="63"/>
      <c r="N126" s="63"/>
      <c r="O126" s="63"/>
      <c r="P126" s="63"/>
      <c r="Q126" s="55"/>
      <c r="R126" s="56"/>
      <c r="S126" s="83"/>
      <c r="T126" s="84"/>
      <c r="U126" s="84"/>
      <c r="V126" s="63"/>
      <c r="W126" s="63"/>
      <c r="X126" s="63"/>
      <c r="Y126" s="63"/>
      <c r="Z126" s="63"/>
      <c r="AA126" s="64"/>
      <c r="AB126" s="3"/>
      <c r="AF126" s="3"/>
      <c r="AK126" s="3"/>
      <c r="AM126" s="3"/>
      <c r="AN126" s="3"/>
      <c r="AO126" s="3"/>
      <c r="AP126" s="3"/>
      <c r="AQ126" s="3"/>
      <c r="AR126" s="3"/>
      <c r="AS126" s="3"/>
      <c r="AT126" s="9"/>
      <c r="AU126" s="9"/>
      <c r="AV126" s="9"/>
      <c r="AW126" s="9"/>
      <c r="AX126" s="9"/>
      <c r="AY126" s="9"/>
      <c r="AZ126" s="9"/>
      <c r="BA126" s="9"/>
      <c r="BB126" s="9"/>
      <c r="BC126" s="23"/>
    </row>
    <row r="127" spans="1:77" x14ac:dyDescent="0.2">
      <c r="A127" s="5"/>
      <c r="B127" s="2"/>
      <c r="C127" s="79"/>
      <c r="D127" s="71">
        <f>6*AO107*(I145+N145+AH109*6)/(N145+AH109*6)-D132-D129-D137-D140-D134</f>
        <v>35.215007807220147</v>
      </c>
      <c r="E127" s="71"/>
      <c r="F127" s="3" t="s">
        <v>0</v>
      </c>
      <c r="G127" s="3"/>
      <c r="H127" s="62"/>
      <c r="I127" s="63"/>
      <c r="J127" s="63">
        <v>6</v>
      </c>
      <c r="K127" s="63"/>
      <c r="L127" s="63"/>
      <c r="M127" s="63"/>
      <c r="N127" s="63"/>
      <c r="O127" s="63"/>
      <c r="P127" s="63"/>
      <c r="Q127" s="55"/>
      <c r="R127" s="56"/>
      <c r="S127" s="83">
        <f>7*AO107-((D132+D129+D127+D124+D137+D140+D134)-7*AO107)*N145/I145-S133-S131-S129-S135-S138-S140</f>
        <v>21.556995461660335</v>
      </c>
      <c r="T127" s="84"/>
      <c r="U127" s="84" t="s">
        <v>0</v>
      </c>
      <c r="V127" s="63"/>
      <c r="W127" s="63"/>
      <c r="X127" s="63"/>
      <c r="Y127" s="63">
        <v>19</v>
      </c>
      <c r="Z127" s="63"/>
      <c r="AA127" s="64"/>
      <c r="AB127" s="3"/>
      <c r="AC127" s="79" t="s">
        <v>0</v>
      </c>
      <c r="AD127" s="3"/>
      <c r="AE127" s="79" t="s">
        <v>0</v>
      </c>
      <c r="AF127" s="3"/>
      <c r="AK127" s="3"/>
      <c r="AL127" s="3"/>
      <c r="AM127" s="3"/>
      <c r="AN127" s="3"/>
      <c r="AO127" s="3"/>
      <c r="AP127" s="3"/>
      <c r="AQ127" s="3"/>
      <c r="AR127" s="3"/>
      <c r="AS127" s="3"/>
      <c r="AT127" s="9"/>
      <c r="AU127" s="9"/>
      <c r="AV127" s="9"/>
      <c r="AW127" s="9"/>
      <c r="AX127" s="9"/>
      <c r="AY127" s="9"/>
      <c r="AZ127" s="9"/>
      <c r="BA127" s="9"/>
      <c r="BB127" s="9"/>
      <c r="BC127" s="23"/>
    </row>
    <row r="128" spans="1:77" x14ac:dyDescent="0.2">
      <c r="A128" s="5"/>
      <c r="B128" s="2"/>
      <c r="C128" s="3"/>
      <c r="D128" s="3"/>
      <c r="E128" s="3"/>
      <c r="F128" s="3"/>
      <c r="G128" s="3"/>
      <c r="H128" s="62"/>
      <c r="I128" s="63"/>
      <c r="J128" s="63"/>
      <c r="K128" s="63"/>
      <c r="L128" s="63"/>
      <c r="M128" s="63"/>
      <c r="N128" s="63"/>
      <c r="O128" s="63"/>
      <c r="P128" s="63"/>
      <c r="Q128" s="55"/>
      <c r="R128" s="56"/>
      <c r="S128" s="83"/>
      <c r="T128" s="84"/>
      <c r="U128" s="84"/>
      <c r="V128" s="63"/>
      <c r="W128" s="63"/>
      <c r="X128" s="63"/>
      <c r="Y128" s="63"/>
      <c r="Z128" s="63"/>
      <c r="AA128" s="64"/>
      <c r="AB128" s="3"/>
      <c r="AC128" s="79"/>
      <c r="AD128" s="3"/>
      <c r="AE128" s="79"/>
      <c r="AF128" s="3"/>
      <c r="AK128" s="3"/>
      <c r="AL128" s="3"/>
      <c r="AM128" s="3"/>
      <c r="AN128" s="3"/>
      <c r="AO128" s="3"/>
      <c r="AP128" s="3"/>
      <c r="AQ128" s="3"/>
      <c r="AR128" s="3"/>
      <c r="AS128" s="3"/>
      <c r="AT128" s="9"/>
      <c r="AU128" s="9"/>
      <c r="AV128" s="9"/>
      <c r="AW128" s="9"/>
      <c r="AX128" s="9"/>
      <c r="AY128" s="9"/>
      <c r="AZ128" s="9"/>
      <c r="BA128" s="9"/>
      <c r="BB128" s="9"/>
      <c r="BC128" s="23"/>
    </row>
    <row r="129" spans="1:55" x14ac:dyDescent="0.2">
      <c r="A129" s="5"/>
      <c r="B129" s="2"/>
      <c r="C129" s="3"/>
      <c r="D129" s="71">
        <f>5*AO107*(I145+N145+AH109*7)/(N145+AH109*7)-D132-D137-D140-D134</f>
        <v>34.041116957509686</v>
      </c>
      <c r="E129" s="71"/>
      <c r="F129" s="3" t="s">
        <v>0</v>
      </c>
      <c r="G129" s="3"/>
      <c r="H129" s="62"/>
      <c r="I129" s="63"/>
      <c r="J129" s="63"/>
      <c r="K129" s="63"/>
      <c r="L129" s="63"/>
      <c r="M129" s="63"/>
      <c r="N129" s="63"/>
      <c r="O129" s="63"/>
      <c r="P129" s="63"/>
      <c r="Q129" s="55"/>
      <c r="R129" s="56"/>
      <c r="S129" s="83">
        <f>6*AO107-((D132+D129+D127+D137+D140+D134)-6*AO107)*N145/I145-S133-S131-S135-S138-S140</f>
        <v>23.69853223294237</v>
      </c>
      <c r="T129" s="84"/>
      <c r="U129" s="63" t="s">
        <v>0</v>
      </c>
      <c r="V129" s="63"/>
      <c r="W129" s="63"/>
      <c r="X129" s="63"/>
      <c r="Y129" s="63">
        <v>20</v>
      </c>
      <c r="Z129" s="63"/>
      <c r="AA129" s="64"/>
      <c r="AB129" s="3"/>
      <c r="AC129" s="79">
        <f>(12*AO107)-(2*PI()*N145*90/360)</f>
        <v>246.11726630737002</v>
      </c>
      <c r="AD129" s="3"/>
      <c r="AE129" s="79">
        <f>+AC129+M120</f>
        <v>258.61726630737002</v>
      </c>
      <c r="AF129" s="3"/>
      <c r="AG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5"/>
    </row>
    <row r="130" spans="1:55" x14ac:dyDescent="0.2">
      <c r="A130" s="5"/>
      <c r="B130" s="2"/>
      <c r="C130" s="3"/>
      <c r="G130" s="3"/>
      <c r="H130" s="62"/>
      <c r="I130" s="63"/>
      <c r="J130" s="63">
        <v>5</v>
      </c>
      <c r="K130" s="63"/>
      <c r="L130" s="63"/>
      <c r="M130" s="63"/>
      <c r="N130" s="63"/>
      <c r="O130" s="63"/>
      <c r="P130" s="63"/>
      <c r="Q130" s="55"/>
      <c r="R130" s="56"/>
      <c r="S130" s="65"/>
      <c r="T130" s="63"/>
      <c r="U130" s="63"/>
      <c r="V130" s="63"/>
      <c r="W130" s="63"/>
      <c r="X130" s="63"/>
      <c r="Y130" s="63"/>
      <c r="Z130" s="63"/>
      <c r="AA130" s="64"/>
      <c r="AB130" s="3"/>
      <c r="AC130" s="79"/>
      <c r="AD130" s="3"/>
      <c r="AE130" s="79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5"/>
    </row>
    <row r="131" spans="1:55" x14ac:dyDescent="0.2">
      <c r="A131" s="5"/>
      <c r="B131" s="2"/>
      <c r="C131" s="3"/>
      <c r="D131" s="3"/>
      <c r="E131" s="3"/>
      <c r="F131" s="3"/>
      <c r="G131" s="3"/>
      <c r="H131" s="62"/>
      <c r="I131" s="63"/>
      <c r="J131" s="63"/>
      <c r="K131" s="63"/>
      <c r="L131" s="63"/>
      <c r="M131" s="63"/>
      <c r="N131" s="63"/>
      <c r="O131" s="63"/>
      <c r="P131" s="63"/>
      <c r="Q131" s="55"/>
      <c r="R131" s="56"/>
      <c r="S131" s="83">
        <f>5*AO107-((D132+D129+D137+D140+D134)-5*AO107)*N145/I145-S133-S135-S138-S140</f>
        <v>25.116983676342443</v>
      </c>
      <c r="T131" s="84"/>
      <c r="U131" s="63" t="s">
        <v>0</v>
      </c>
      <c r="V131" s="63"/>
      <c r="W131" s="63"/>
      <c r="X131" s="63"/>
      <c r="Y131" s="63"/>
      <c r="Z131" s="63"/>
      <c r="AA131" s="64"/>
      <c r="AB131" s="3"/>
      <c r="AC131" s="79"/>
      <c r="AD131" s="3"/>
      <c r="AE131" s="79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5"/>
    </row>
    <row r="132" spans="1:55" x14ac:dyDescent="0.2">
      <c r="A132" s="5"/>
      <c r="B132" s="2"/>
      <c r="C132" s="3"/>
      <c r="D132" s="71">
        <f>4*AO107*(I145+N145+AH109*8)/(N145+AH109*8)-D137-D140-D134</f>
        <v>33.223490542873193</v>
      </c>
      <c r="E132" s="71"/>
      <c r="F132" s="3" t="s">
        <v>0</v>
      </c>
      <c r="G132" s="3"/>
      <c r="H132" s="62"/>
      <c r="I132" s="63"/>
      <c r="J132" s="63">
        <v>4</v>
      </c>
      <c r="K132" s="63"/>
      <c r="L132" s="63"/>
      <c r="M132" s="63"/>
      <c r="N132" s="63"/>
      <c r="O132" s="63"/>
      <c r="P132" s="63"/>
      <c r="Q132" s="55"/>
      <c r="R132" s="56"/>
      <c r="S132" s="65"/>
      <c r="T132" s="63"/>
      <c r="U132" s="63"/>
      <c r="V132" s="63"/>
      <c r="W132" s="63"/>
      <c r="X132" s="63"/>
      <c r="Y132" s="63">
        <v>21</v>
      </c>
      <c r="Z132" s="63"/>
      <c r="AA132" s="64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5"/>
    </row>
    <row r="133" spans="1:55" x14ac:dyDescent="0.2">
      <c r="A133" s="5"/>
      <c r="B133" s="2"/>
      <c r="H133" s="62"/>
      <c r="I133" s="63"/>
      <c r="J133" s="63"/>
      <c r="K133" s="63"/>
      <c r="L133" s="63"/>
      <c r="M133" s="63"/>
      <c r="N133" s="63"/>
      <c r="O133" s="63"/>
      <c r="P133" s="63"/>
      <c r="Q133" s="55"/>
      <c r="R133" s="56"/>
      <c r="S133" s="83">
        <f>4*AO107-((D132+D137+D140+D134)-4*AO107)*N145/I145-S135-S138-S140</f>
        <v>26.104948927361562</v>
      </c>
      <c r="T133" s="84"/>
      <c r="U133" s="63" t="s">
        <v>0</v>
      </c>
      <c r="V133" s="63"/>
      <c r="W133" s="63"/>
      <c r="X133" s="63"/>
      <c r="Y133" s="63"/>
      <c r="Z133" s="63"/>
      <c r="AA133" s="64"/>
      <c r="AH133" s="3"/>
      <c r="AI133" s="3"/>
      <c r="AM133" s="3"/>
      <c r="AN133" s="3"/>
      <c r="AO133" s="3"/>
      <c r="AP133" s="3"/>
      <c r="AQ133" s="3"/>
      <c r="AR133" s="3"/>
      <c r="AS133" s="3"/>
      <c r="AV133" s="3"/>
      <c r="AW133" s="3"/>
      <c r="AX133" s="3"/>
      <c r="AY133" s="3"/>
      <c r="AZ133" s="3"/>
      <c r="BA133" s="3"/>
      <c r="BB133" s="3"/>
      <c r="BC133" s="5"/>
    </row>
    <row r="134" spans="1:55" x14ac:dyDescent="0.2">
      <c r="A134" s="5"/>
      <c r="B134" s="2"/>
      <c r="D134" s="71">
        <f>3*AO107*(I145+N145+AH109*9)/(N145+AH109*9)-D137-D140</f>
        <v>32.631209109781068</v>
      </c>
      <c r="E134" s="71"/>
      <c r="F134" s="71" t="s">
        <v>0</v>
      </c>
      <c r="H134" s="62"/>
      <c r="I134" s="63"/>
      <c r="J134" s="63"/>
      <c r="K134" s="63"/>
      <c r="L134" s="63"/>
      <c r="M134" s="63"/>
      <c r="N134" s="63"/>
      <c r="O134" s="63"/>
      <c r="P134" s="63"/>
      <c r="Q134" s="55"/>
      <c r="R134" s="56"/>
      <c r="S134" s="65"/>
      <c r="T134" s="65"/>
      <c r="U134" s="65"/>
      <c r="V134" s="63"/>
      <c r="W134" s="63"/>
      <c r="X134" s="63"/>
      <c r="Y134" s="63"/>
      <c r="Z134" s="63"/>
      <c r="AA134" s="64"/>
      <c r="AH134" s="3"/>
      <c r="AI134" s="3"/>
      <c r="AM134" s="3"/>
      <c r="AN134" s="3"/>
      <c r="AO134" s="3"/>
      <c r="AP134" s="3"/>
      <c r="AQ134" s="3"/>
      <c r="AR134" s="3"/>
      <c r="AS134" s="3"/>
      <c r="AV134" s="3"/>
      <c r="AW134" s="3"/>
      <c r="AX134" s="3"/>
      <c r="AY134" s="3"/>
      <c r="AZ134" s="3"/>
      <c r="BA134" s="3"/>
      <c r="BB134" s="3"/>
      <c r="BC134" s="5"/>
    </row>
    <row r="135" spans="1:55" x14ac:dyDescent="0.2">
      <c r="A135" s="5"/>
      <c r="B135" s="2"/>
      <c r="C135" s="3"/>
      <c r="D135" s="71"/>
      <c r="E135" s="71"/>
      <c r="F135" s="71"/>
      <c r="G135" s="3"/>
      <c r="H135" s="62"/>
      <c r="I135" s="63"/>
      <c r="J135" s="63">
        <v>3</v>
      </c>
      <c r="K135" s="63"/>
      <c r="L135" s="63"/>
      <c r="M135" s="63"/>
      <c r="N135" s="63"/>
      <c r="O135" s="63"/>
      <c r="P135" s="63"/>
      <c r="Q135" s="55"/>
      <c r="R135" s="56"/>
      <c r="S135" s="83">
        <f>3*AO107-((D137+D140+D134)-3*AO107)*N145/I145-S140-S138</f>
        <v>26.820622325681214</v>
      </c>
      <c r="T135" s="84"/>
      <c r="U135" s="84" t="s">
        <v>0</v>
      </c>
      <c r="V135" s="63"/>
      <c r="W135" s="63"/>
      <c r="X135" s="63"/>
      <c r="Y135" s="63">
        <v>22</v>
      </c>
      <c r="Z135" s="63"/>
      <c r="AA135" s="64"/>
      <c r="AB135" s="3"/>
      <c r="AC135" s="3"/>
      <c r="AD135" s="3"/>
      <c r="AE135" s="3"/>
      <c r="AF135" s="3"/>
      <c r="AG135" s="3"/>
      <c r="AH135" s="3"/>
      <c r="AI135" s="3"/>
      <c r="AP135" s="3"/>
      <c r="AQ135" s="3"/>
      <c r="AR135" s="3"/>
      <c r="AS135" s="3"/>
      <c r="AV135" s="3"/>
      <c r="AW135" s="3"/>
      <c r="AX135" s="3"/>
      <c r="AY135" s="3"/>
      <c r="AZ135" s="3"/>
      <c r="BA135" s="3"/>
      <c r="BB135" s="3"/>
      <c r="BC135" s="5"/>
    </row>
    <row r="136" spans="1:55" x14ac:dyDescent="0.2">
      <c r="A136" s="5"/>
      <c r="B136" s="2"/>
      <c r="H136" s="62"/>
      <c r="I136" s="63"/>
      <c r="J136" s="63"/>
      <c r="K136" s="63"/>
      <c r="L136" s="63"/>
      <c r="M136" s="63"/>
      <c r="N136" s="63"/>
      <c r="O136" s="63"/>
      <c r="P136" s="63"/>
      <c r="Q136" s="55"/>
      <c r="R136" s="56"/>
      <c r="S136" s="83"/>
      <c r="T136" s="84"/>
      <c r="U136" s="84"/>
      <c r="V136" s="63"/>
      <c r="W136" s="63"/>
      <c r="X136" s="63"/>
      <c r="Y136" s="63"/>
      <c r="Z136" s="63"/>
      <c r="AA136" s="64"/>
      <c r="AH136" s="3"/>
      <c r="AI136" s="3"/>
      <c r="AM136" s="3"/>
      <c r="AN136" s="3"/>
      <c r="AO136" s="3"/>
      <c r="AP136" s="3"/>
      <c r="AQ136" s="3"/>
      <c r="AR136" s="3"/>
      <c r="AS136" s="3"/>
      <c r="AV136" s="3"/>
      <c r="AW136" s="3"/>
      <c r="AX136" s="3"/>
      <c r="AY136" s="3"/>
      <c r="AZ136" s="3"/>
      <c r="BA136" s="3"/>
      <c r="BB136" s="3"/>
      <c r="BC136" s="5"/>
    </row>
    <row r="137" spans="1:55" x14ac:dyDescent="0.2">
      <c r="A137" s="5"/>
      <c r="B137" s="2"/>
      <c r="C137" s="3"/>
      <c r="D137" s="71">
        <f>2*AO107*(I145+N145+AH109*10)/(N145+AH109*10)-D140</f>
        <v>32.188430822102362</v>
      </c>
      <c r="E137" s="71"/>
      <c r="F137" s="3" t="s">
        <v>0</v>
      </c>
      <c r="G137" s="3"/>
      <c r="H137" s="62"/>
      <c r="I137" s="63"/>
      <c r="J137" s="63"/>
      <c r="K137" s="63"/>
      <c r="L137" s="63"/>
      <c r="M137" s="63"/>
      <c r="N137" s="63"/>
      <c r="O137" s="63"/>
      <c r="P137" s="63"/>
      <c r="Q137" s="55"/>
      <c r="R137" s="56"/>
      <c r="S137" s="62"/>
      <c r="T137" s="63"/>
      <c r="U137" s="63"/>
      <c r="V137" s="63"/>
      <c r="W137" s="63"/>
      <c r="X137" s="63"/>
      <c r="Y137" s="63"/>
      <c r="Z137" s="63"/>
      <c r="AA137" s="64"/>
      <c r="AB137" s="3"/>
      <c r="AC137" s="3"/>
      <c r="AD137" s="3"/>
      <c r="AE137" s="3"/>
      <c r="AF137" s="3"/>
      <c r="AG137" s="3"/>
      <c r="AH137" s="3"/>
      <c r="AI137" s="3"/>
      <c r="AM137" s="3"/>
      <c r="AN137" s="3"/>
      <c r="AO137" s="3"/>
      <c r="AP137" s="3"/>
      <c r="AQ137" s="3"/>
      <c r="AR137" s="3"/>
      <c r="AS137" s="3"/>
      <c r="AV137" s="3"/>
      <c r="AW137" s="3"/>
      <c r="AX137" s="3"/>
      <c r="AY137" s="3"/>
      <c r="AZ137" s="3"/>
      <c r="BA137" s="3"/>
      <c r="BB137" s="3"/>
      <c r="BC137" s="5"/>
    </row>
    <row r="138" spans="1:55" x14ac:dyDescent="0.2">
      <c r="A138" s="5"/>
      <c r="B138" s="2"/>
      <c r="C138" s="3"/>
      <c r="D138" s="3"/>
      <c r="E138" s="3"/>
      <c r="F138" s="3"/>
      <c r="G138" s="3"/>
      <c r="H138" s="62"/>
      <c r="I138" s="63"/>
      <c r="J138" s="63">
        <v>2</v>
      </c>
      <c r="K138" s="63"/>
      <c r="L138" s="63"/>
      <c r="M138" s="63"/>
      <c r="N138" s="63"/>
      <c r="O138" s="63"/>
      <c r="P138" s="63"/>
      <c r="Q138" s="55"/>
      <c r="R138" s="56"/>
      <c r="S138" s="83">
        <f>2*AO107-((D137+D140)-2*AO107)*N145/I145-S140</f>
        <v>27.355646089959649</v>
      </c>
      <c r="T138" s="84"/>
      <c r="U138" s="63" t="s">
        <v>0</v>
      </c>
      <c r="V138" s="63"/>
      <c r="W138" s="63"/>
      <c r="X138" s="63"/>
      <c r="Y138" s="63">
        <v>23</v>
      </c>
      <c r="Z138" s="63"/>
      <c r="AA138" s="64"/>
      <c r="AB138" s="3"/>
      <c r="AC138" s="3"/>
      <c r="AD138" s="3"/>
      <c r="AE138" s="3"/>
      <c r="AF138" s="3"/>
      <c r="AG138" s="3"/>
      <c r="AH138" s="3"/>
      <c r="AI138" s="3"/>
      <c r="AM138" s="3"/>
      <c r="AN138" s="3"/>
      <c r="AO138" s="3"/>
      <c r="AP138" s="3"/>
      <c r="AQ138" s="3"/>
      <c r="AR138" s="3"/>
      <c r="AS138" s="3"/>
      <c r="AV138" s="3"/>
      <c r="AW138" s="3"/>
      <c r="AX138" s="3"/>
      <c r="AY138" s="3"/>
      <c r="AZ138" s="3"/>
      <c r="BA138" s="3"/>
      <c r="BB138" s="3"/>
      <c r="BC138" s="5"/>
    </row>
    <row r="139" spans="1:55" x14ac:dyDescent="0.2">
      <c r="A139" s="5"/>
      <c r="B139" s="2"/>
      <c r="C139" s="3"/>
      <c r="D139" s="3"/>
      <c r="E139" s="3"/>
      <c r="F139" s="3"/>
      <c r="G139" s="3"/>
      <c r="H139" s="62"/>
      <c r="I139" s="63"/>
      <c r="J139" s="63"/>
      <c r="K139" s="63"/>
      <c r="L139" s="63"/>
      <c r="M139" s="63"/>
      <c r="N139" s="63"/>
      <c r="O139" s="63"/>
      <c r="P139" s="63"/>
      <c r="Q139" s="55"/>
      <c r="R139" s="56"/>
      <c r="S139" s="63"/>
      <c r="T139" s="63"/>
      <c r="U139" s="63"/>
      <c r="V139" s="63"/>
      <c r="W139" s="63"/>
      <c r="X139" s="63"/>
      <c r="Y139" s="63"/>
      <c r="Z139" s="63"/>
      <c r="AA139" s="64"/>
      <c r="AB139" s="3"/>
      <c r="AC139" s="3"/>
      <c r="AD139" s="3"/>
      <c r="AE139" s="3"/>
      <c r="AF139" s="3"/>
      <c r="AG139" s="3"/>
      <c r="AH139" s="3"/>
      <c r="AI139" s="3"/>
      <c r="AM139" s="3"/>
      <c r="AN139" s="3"/>
      <c r="AO139" s="3"/>
      <c r="AP139" s="3"/>
      <c r="AQ139" s="3"/>
      <c r="AR139" s="3"/>
      <c r="AS139" s="3"/>
      <c r="AV139" s="3"/>
      <c r="AW139" s="3"/>
      <c r="AX139" s="3"/>
      <c r="AY139" s="3"/>
      <c r="AZ139" s="3"/>
      <c r="BA139" s="3"/>
      <c r="BB139" s="3"/>
      <c r="BC139" s="5"/>
    </row>
    <row r="140" spans="1:55" x14ac:dyDescent="0.2">
      <c r="A140" s="5"/>
      <c r="B140" s="2"/>
      <c r="C140" s="3"/>
      <c r="D140" s="71">
        <f>AO107*(I145+N145+AH109*11)/(N145+AH109*11)</f>
        <v>31.848744134401418</v>
      </c>
      <c r="E140" s="71"/>
      <c r="F140" s="3" t="s">
        <v>0</v>
      </c>
      <c r="G140" s="3"/>
      <c r="H140" s="62"/>
      <c r="I140" s="63"/>
      <c r="J140" s="63">
        <v>1</v>
      </c>
      <c r="K140" s="63"/>
      <c r="L140" s="63"/>
      <c r="M140" s="63"/>
      <c r="N140" s="63"/>
      <c r="O140" s="63"/>
      <c r="P140" s="63"/>
      <c r="Q140" s="55"/>
      <c r="R140" s="56"/>
      <c r="S140" s="83">
        <f>AO107-(D140-AO107)*N145/I145</f>
        <v>27.766100837598287</v>
      </c>
      <c r="T140" s="84"/>
      <c r="U140" s="84" t="s">
        <v>0</v>
      </c>
      <c r="V140" s="63"/>
      <c r="W140" s="63"/>
      <c r="X140" s="63"/>
      <c r="Y140" s="63">
        <v>24</v>
      </c>
      <c r="Z140" s="63"/>
      <c r="AA140" s="64"/>
      <c r="AB140" s="3"/>
      <c r="AC140" s="3"/>
      <c r="AD140" s="3"/>
      <c r="AE140" s="3"/>
      <c r="AF140" s="3"/>
      <c r="AG140" s="3"/>
      <c r="AH140" s="3"/>
      <c r="AI140" s="3"/>
      <c r="AM140" s="3"/>
      <c r="AN140" s="3"/>
      <c r="AO140" s="3"/>
      <c r="AP140" s="3"/>
      <c r="AQ140" s="3"/>
      <c r="AR140" s="3"/>
      <c r="AS140" s="3"/>
      <c r="AV140" s="3"/>
      <c r="AW140" s="3"/>
      <c r="AX140" s="3"/>
      <c r="AY140" s="3"/>
      <c r="AZ140" s="3"/>
      <c r="BA140" s="3"/>
      <c r="BB140" s="3"/>
      <c r="BC140" s="5"/>
    </row>
    <row r="141" spans="1:55" x14ac:dyDescent="0.2">
      <c r="A141" s="5"/>
      <c r="B141" s="2"/>
      <c r="C141" s="3"/>
      <c r="D141" s="3"/>
      <c r="E141" s="3"/>
      <c r="F141" s="3"/>
      <c r="G141" s="3"/>
      <c r="H141" s="66"/>
      <c r="I141" s="67"/>
      <c r="J141" s="67"/>
      <c r="K141" s="67"/>
      <c r="L141" s="67"/>
      <c r="M141" s="67"/>
      <c r="N141" s="67"/>
      <c r="O141" s="67"/>
      <c r="P141" s="67"/>
      <c r="Q141" s="57"/>
      <c r="R141" s="58"/>
      <c r="S141" s="93"/>
      <c r="T141" s="94"/>
      <c r="U141" s="94"/>
      <c r="V141" s="67"/>
      <c r="W141" s="67"/>
      <c r="X141" s="67"/>
      <c r="Y141" s="67"/>
      <c r="Z141" s="67"/>
      <c r="AA141" s="68"/>
      <c r="AB141" s="3"/>
      <c r="AC141" s="3"/>
      <c r="AD141" s="3"/>
      <c r="AE141" s="3"/>
      <c r="AF141" s="3"/>
      <c r="AG141" s="3"/>
      <c r="AH141" s="3"/>
      <c r="AI141" s="3"/>
      <c r="AM141" s="3"/>
      <c r="AN141" s="3"/>
      <c r="AO141" s="3"/>
      <c r="AP141" s="3"/>
      <c r="AQ141" s="3"/>
      <c r="AR141" s="3"/>
      <c r="AS141" s="3"/>
      <c r="AV141" s="3"/>
      <c r="AW141" s="3"/>
      <c r="AX141" s="3"/>
      <c r="AY141" s="3"/>
      <c r="AZ141" s="3"/>
      <c r="BA141" s="3"/>
      <c r="BB141" s="3"/>
      <c r="BC141" s="5"/>
    </row>
    <row r="142" spans="1:55" x14ac:dyDescent="0.2">
      <c r="A142" s="5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M142" s="3"/>
      <c r="AN142" s="3"/>
      <c r="AO142" s="3"/>
      <c r="AP142" s="3"/>
      <c r="AQ142" s="3"/>
      <c r="AR142" s="3"/>
      <c r="AS142" s="3"/>
      <c r="AV142" s="3"/>
      <c r="AW142" s="3"/>
      <c r="AX142" s="3"/>
      <c r="AY142" s="3"/>
      <c r="AZ142" s="3"/>
      <c r="BA142" s="3"/>
      <c r="BB142" s="3"/>
      <c r="BC142" s="5"/>
    </row>
    <row r="143" spans="1:55" x14ac:dyDescent="0.2">
      <c r="A143" s="5"/>
      <c r="B143" s="2"/>
      <c r="C143" s="3"/>
      <c r="D143" s="3"/>
      <c r="E143" s="3"/>
      <c r="F143" s="3"/>
      <c r="G143" s="3"/>
      <c r="H143" s="3"/>
      <c r="I143" s="3"/>
      <c r="J143" s="3"/>
      <c r="K143" s="78">
        <v>120</v>
      </c>
      <c r="L143" s="78"/>
      <c r="M143" s="3" t="s">
        <v>0</v>
      </c>
      <c r="N143" s="3"/>
      <c r="O143" s="3"/>
      <c r="P143" s="3"/>
      <c r="Q143" s="78">
        <v>25</v>
      </c>
      <c r="R143" s="78"/>
      <c r="S143" s="3" t="s">
        <v>0</v>
      </c>
      <c r="T143" s="3"/>
      <c r="U143" s="3"/>
      <c r="V143" s="71">
        <f>+K143</f>
        <v>120</v>
      </c>
      <c r="W143" s="71"/>
      <c r="X143" s="3" t="s">
        <v>0</v>
      </c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 t="s">
        <v>9</v>
      </c>
      <c r="AJ143" s="3"/>
      <c r="AK143" s="71">
        <f>+AO107</f>
        <v>30</v>
      </c>
      <c r="AL143" s="71"/>
      <c r="AM143" s="3" t="s">
        <v>0</v>
      </c>
      <c r="AN143" s="3"/>
      <c r="AO143" s="3"/>
      <c r="AP143" s="3"/>
      <c r="AQ143" s="3"/>
      <c r="AR143" s="3"/>
      <c r="AS143" s="3"/>
      <c r="AT143" s="3"/>
      <c r="AW143" s="3"/>
      <c r="AX143" s="3"/>
      <c r="AY143" s="3"/>
      <c r="AZ143" s="3"/>
      <c r="BA143" s="3"/>
      <c r="BB143" s="3"/>
      <c r="BC143" s="5"/>
    </row>
    <row r="144" spans="1:55" x14ac:dyDescent="0.2">
      <c r="A144" s="5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W144" s="3"/>
      <c r="AX144" s="3"/>
      <c r="AY144" s="3"/>
      <c r="AZ144" s="3"/>
      <c r="BA144" s="3"/>
      <c r="BB144" s="3"/>
      <c r="BC144" s="5"/>
    </row>
    <row r="145" spans="1:95" x14ac:dyDescent="0.2">
      <c r="A145" s="5"/>
      <c r="B145" s="2"/>
      <c r="C145" s="3"/>
      <c r="D145" s="3"/>
      <c r="E145" s="3"/>
      <c r="F145" s="3"/>
      <c r="G145" s="3"/>
      <c r="H145" s="3"/>
      <c r="I145" s="71">
        <f>+K143/2</f>
        <v>60</v>
      </c>
      <c r="J145" s="71"/>
      <c r="K145" s="3" t="s">
        <v>0</v>
      </c>
      <c r="L145" s="3"/>
      <c r="M145" s="3"/>
      <c r="N145" s="71">
        <f>+K143/2+Q143/2</f>
        <v>72.5</v>
      </c>
      <c r="O145" s="71"/>
      <c r="P145" s="3" t="s">
        <v>0</v>
      </c>
      <c r="Q145" s="3"/>
      <c r="R145" s="3"/>
      <c r="S145" s="3"/>
      <c r="T145" s="71">
        <f>+V143/2+Q143/2</f>
        <v>72.5</v>
      </c>
      <c r="U145" s="71"/>
      <c r="V145" s="3" t="s">
        <v>0</v>
      </c>
      <c r="W145" s="3"/>
      <c r="X145" s="3"/>
      <c r="Y145" s="71">
        <f>+V143/2</f>
        <v>60</v>
      </c>
      <c r="Z145" s="71"/>
      <c r="AA145" s="3" t="s">
        <v>0</v>
      </c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W145" s="3"/>
      <c r="AX145" s="3"/>
      <c r="AY145" s="3"/>
      <c r="AZ145" s="3"/>
      <c r="BA145" s="3"/>
      <c r="BB145" s="3"/>
      <c r="BC145" s="5"/>
    </row>
    <row r="146" spans="1:95" x14ac:dyDescent="0.2">
      <c r="A146" s="5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W146" s="3"/>
      <c r="AX146" s="3"/>
      <c r="AY146" s="3"/>
      <c r="AZ146" s="3"/>
      <c r="BA146" s="3"/>
      <c r="BB146" s="3"/>
      <c r="BC146" s="5"/>
    </row>
    <row r="147" spans="1:95" x14ac:dyDescent="0.2">
      <c r="A147" s="5"/>
      <c r="B147" s="2"/>
      <c r="C147" s="3"/>
      <c r="D147" s="3"/>
      <c r="E147" s="3"/>
      <c r="F147" s="3"/>
      <c r="G147" s="3"/>
      <c r="H147" s="3"/>
      <c r="I147" s="3"/>
      <c r="J147" s="3"/>
      <c r="K147" s="72">
        <f>+K143+Q143/2</f>
        <v>132.5</v>
      </c>
      <c r="L147" s="72"/>
      <c r="M147" s="72"/>
      <c r="N147" s="3" t="s">
        <v>0</v>
      </c>
      <c r="O147" s="3"/>
      <c r="P147" s="3"/>
      <c r="Q147" s="3"/>
      <c r="R147" s="3"/>
      <c r="S147" s="3"/>
      <c r="T147" s="3"/>
      <c r="U147" s="71">
        <f>+K147</f>
        <v>132.5</v>
      </c>
      <c r="V147" s="71"/>
      <c r="W147" s="71"/>
      <c r="X147" s="3" t="s">
        <v>0</v>
      </c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 t="s">
        <v>21</v>
      </c>
      <c r="AJ147" s="3"/>
      <c r="AK147" s="3"/>
      <c r="AL147" s="3"/>
      <c r="AM147" s="3"/>
      <c r="AN147" s="3"/>
      <c r="AO147" s="38"/>
      <c r="AP147" s="38"/>
      <c r="AQ147" s="9"/>
      <c r="AR147" s="3"/>
      <c r="AS147" s="3"/>
      <c r="AT147" s="3"/>
      <c r="AW147" s="3"/>
      <c r="AX147" s="3"/>
      <c r="AY147" s="3"/>
      <c r="AZ147" s="3"/>
      <c r="BA147" s="3"/>
      <c r="BB147" s="3"/>
      <c r="BC147" s="5"/>
    </row>
    <row r="148" spans="1:95" x14ac:dyDescent="0.2">
      <c r="A148" s="5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W148" s="3"/>
      <c r="AX148" s="3"/>
      <c r="AY148" s="3"/>
      <c r="AZ148" s="3"/>
      <c r="BA148" s="3"/>
      <c r="BB148" s="3"/>
      <c r="BC148" s="5"/>
    </row>
    <row r="149" spans="1:95" x14ac:dyDescent="0.2">
      <c r="A149" s="5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71">
        <f>+K143+Q143+V143</f>
        <v>265</v>
      </c>
      <c r="R149" s="71"/>
      <c r="S149" s="3" t="s">
        <v>0</v>
      </c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W149" s="3"/>
      <c r="AX149" s="3"/>
      <c r="AY149" s="3"/>
      <c r="AZ149" s="3"/>
      <c r="BA149" s="3"/>
      <c r="BB149" s="3"/>
      <c r="BC149" s="5"/>
    </row>
    <row r="150" spans="1:95" ht="12" thickBot="1" x14ac:dyDescent="0.25">
      <c r="A150" s="5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5"/>
    </row>
    <row r="151" spans="1:95" ht="12" thickBot="1" x14ac:dyDescent="0.25"/>
    <row r="152" spans="1:95" ht="48.75" customHeight="1" x14ac:dyDescent="0.2">
      <c r="A152" s="18"/>
      <c r="B152" s="85" t="s">
        <v>36</v>
      </c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6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</row>
    <row r="153" spans="1:95" x14ac:dyDescent="0.2">
      <c r="A153" s="23"/>
      <c r="B153" s="3"/>
      <c r="C153" s="3"/>
      <c r="D153" s="3"/>
      <c r="E153" s="3"/>
      <c r="F153" s="3"/>
      <c r="G153" s="3"/>
      <c r="H153" s="3"/>
      <c r="I153" s="3"/>
      <c r="J153" s="3"/>
      <c r="K153" s="3"/>
      <c r="N153" s="3"/>
      <c r="O153" s="3"/>
      <c r="P153" s="3"/>
      <c r="Q153" s="3"/>
      <c r="R153" s="3"/>
      <c r="S153" s="3"/>
      <c r="T153" s="3"/>
      <c r="U153" s="3"/>
      <c r="X153" s="3"/>
      <c r="Y153" s="3"/>
      <c r="Z153" s="16" t="s">
        <v>5</v>
      </c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18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</row>
    <row r="154" spans="1:95" x14ac:dyDescent="0.2">
      <c r="A154" s="23"/>
      <c r="B154" s="3"/>
      <c r="C154" s="3"/>
      <c r="D154" s="3"/>
      <c r="E154" s="3"/>
      <c r="F154" s="3"/>
      <c r="G154" s="3"/>
      <c r="H154" s="3"/>
      <c r="I154" s="3"/>
      <c r="J154" s="3"/>
      <c r="K154" s="71">
        <f>+K195</f>
        <v>132.5</v>
      </c>
      <c r="L154" s="71"/>
      <c r="M154" s="71"/>
      <c r="N154" s="3" t="s">
        <v>0</v>
      </c>
      <c r="O154" s="3"/>
      <c r="P154" s="3"/>
      <c r="Q154" s="3"/>
      <c r="R154" s="3"/>
      <c r="S154" s="3"/>
      <c r="T154" s="3"/>
      <c r="U154" s="71">
        <f>+K154</f>
        <v>132.5</v>
      </c>
      <c r="V154" s="71"/>
      <c r="W154" s="71"/>
      <c r="X154" s="3" t="s">
        <v>0</v>
      </c>
      <c r="Y154" s="3"/>
      <c r="Z154" s="16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5"/>
    </row>
    <row r="155" spans="1:95" x14ac:dyDescent="0.2">
      <c r="A155" s="23"/>
      <c r="B155" s="3"/>
      <c r="C155" s="3"/>
      <c r="F155" s="3"/>
      <c r="G155" s="3"/>
      <c r="H155" s="3"/>
      <c r="I155" s="3"/>
      <c r="J155" s="3"/>
      <c r="K155" s="3"/>
      <c r="L155" s="3"/>
      <c r="Q155" s="3"/>
      <c r="R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G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5"/>
    </row>
    <row r="156" spans="1:95" x14ac:dyDescent="0.2">
      <c r="A156" s="23"/>
      <c r="B156" s="3"/>
      <c r="C156" s="3"/>
      <c r="D156" s="3"/>
      <c r="E156" s="3"/>
      <c r="F156" s="3"/>
      <c r="G156" s="71">
        <f>+K154-M156-P156-J156</f>
        <v>9.3044894310265676</v>
      </c>
      <c r="H156" s="71"/>
      <c r="I156" s="1" t="s">
        <v>0</v>
      </c>
      <c r="J156" s="71">
        <f>(N193*SIN((2.5*AP157*360/(2*PI()*N193))*PI()/180))*((I193+N193-(N193*COS((2.5*AP157*360/(2*PI()*N193))*PI()/180)))+((N193*SIN((2.5*AP157*360/(2*PI()*N193))*PI()/180))*((N193*COS((2.5*AP157*360/(2*PI()*N193))*PI()/180))+AC178)/((N193*SIN((2.5*AP157*360/(2*PI()*N193))*PI()/180))+3*AI159)))/((N193*SIN((2.5*AP157*360/(2*PI()*N193))*PI()/180))*((N193*COS((2.5*AP157*360/(2*PI()*N193))*PI()/180))+AC178)/((N193*SIN((2.5*AP157*360/(2*PI()*N193))*PI()/180))+3*AI159))-P156-M156</f>
        <v>51.977565684837288</v>
      </c>
      <c r="K156" s="71"/>
      <c r="L156" s="1" t="s">
        <v>0</v>
      </c>
      <c r="M156" s="71">
        <f>(N193*SIN((1.5*AP157*360/(2*PI()*N193))*PI()/180))*((I193+N193-(N193*COS((1.5*AP157*360/(2*PI()*N193))*PI()/180)))+((N193*SIN((1.5*AP157*360/(2*PI()*N193))*PI()/180))*((N193*COS((1.5*AP157*360/(2*PI()*N193))*PI()/180))+AC178)/((N193*SIN((1.5*AP157*360/(2*PI()*N193))*PI()/180))+2*AI159)))/((N193*SIN((1.5*AP157*360/(2*PI()*N193))*PI()/180))*((N193*COS((1.5*AP157*360/(2*PI()*N193))*PI()/180))+AC178)/((N193*SIN((1.5*AP157*360/(2*PI()*N193))*PI()/180))+2*AI159))-P156</f>
        <v>45.908135486699962</v>
      </c>
      <c r="N156" s="71"/>
      <c r="O156" s="1" t="s">
        <v>0</v>
      </c>
      <c r="P156" s="71">
        <f>((N193*SIN((AP157/2*360/(2*PI()*N193))*PI()/180))-Q166)*(I193-((N193*COS((AP157/2*360/(2*PI()*N193))*PI()/180))-M169)+I193)/((N193*COS((AP157/2*360/(2*PI()*N193))*PI()/180))-M169)+(N193*SIN((AP157/2*360/(2*PI()*N193))*PI()/180))</f>
        <v>25.309809397436183</v>
      </c>
      <c r="Q156" s="71"/>
      <c r="R156" s="71">
        <f>+P156</f>
        <v>25.309809397436183</v>
      </c>
      <c r="S156" s="71"/>
      <c r="T156" s="71">
        <f>+M156</f>
        <v>45.908135486699962</v>
      </c>
      <c r="U156" s="71"/>
      <c r="V156" s="1" t="s">
        <v>0</v>
      </c>
      <c r="X156" s="71">
        <f>+J156</f>
        <v>51.977565684837288</v>
      </c>
      <c r="Y156" s="71"/>
      <c r="Z156" s="1" t="s">
        <v>0</v>
      </c>
      <c r="AA156" s="71">
        <f>+G156</f>
        <v>9.3044894310265676</v>
      </c>
      <c r="AB156" s="71"/>
      <c r="AC156" s="3" t="s">
        <v>0</v>
      </c>
      <c r="AD156" s="3"/>
      <c r="AG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5"/>
      <c r="BG156" s="27" t="s">
        <v>22</v>
      </c>
    </row>
    <row r="157" spans="1:95" x14ac:dyDescent="0.2">
      <c r="A157" s="2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I157" s="3" t="s">
        <v>1</v>
      </c>
      <c r="AJ157" s="3"/>
      <c r="AK157" s="3"/>
      <c r="AL157" s="3"/>
      <c r="AM157" s="3"/>
      <c r="AN157" s="3"/>
      <c r="AO157" s="3"/>
      <c r="AP157" s="78">
        <v>30</v>
      </c>
      <c r="AQ157" s="78"/>
      <c r="AR157" s="3" t="s">
        <v>0</v>
      </c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5"/>
      <c r="BG157" s="3" t="s">
        <v>18</v>
      </c>
      <c r="BH157" s="3"/>
      <c r="BI157" s="3"/>
      <c r="BJ157" s="3"/>
      <c r="BK157" s="3"/>
      <c r="BL157" s="78">
        <v>3.8</v>
      </c>
      <c r="BM157" s="78"/>
      <c r="BN157" s="3" t="s">
        <v>10</v>
      </c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</row>
    <row r="158" spans="1:95" x14ac:dyDescent="0.2">
      <c r="A158" s="2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 t="s">
        <v>3</v>
      </c>
      <c r="AJ158" s="3"/>
      <c r="AK158" s="3"/>
      <c r="AL158" s="3"/>
      <c r="AM158" s="3"/>
      <c r="AN158" s="3"/>
      <c r="AO158" s="9">
        <v>23</v>
      </c>
      <c r="AP158" s="3" t="s">
        <v>4</v>
      </c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5"/>
      <c r="BG158" s="21" t="s">
        <v>6</v>
      </c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</row>
    <row r="159" spans="1:95" x14ac:dyDescent="0.2">
      <c r="A159" s="23"/>
      <c r="B159" s="3"/>
      <c r="C159" s="3"/>
      <c r="D159" s="3"/>
      <c r="E159" s="3"/>
      <c r="F159" s="3"/>
      <c r="G159" s="3"/>
      <c r="H159" s="28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30"/>
      <c r="AB159" s="3"/>
      <c r="AC159" s="3"/>
      <c r="AD159" s="3"/>
      <c r="AE159" s="3"/>
      <c r="AF159" s="3"/>
      <c r="AG159" s="3"/>
      <c r="AI159" s="82">
        <f>P156*(AC178+M169-S169)/(AC164-M169+S169)</f>
        <v>36.231835371892807</v>
      </c>
      <c r="AJ159" s="82"/>
      <c r="AK159" s="82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5"/>
      <c r="BG159" s="3" t="s">
        <v>7</v>
      </c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CQ159" s="3"/>
    </row>
    <row r="160" spans="1:95" x14ac:dyDescent="0.2">
      <c r="A160" s="23"/>
      <c r="B160" s="3"/>
      <c r="C160" s="3"/>
      <c r="G160" s="3"/>
      <c r="H160" s="31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3"/>
      <c r="AB160" s="3"/>
      <c r="AC160" s="3"/>
      <c r="AD160" s="3"/>
      <c r="AE160" s="3"/>
      <c r="AF160" s="3"/>
      <c r="AG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5"/>
      <c r="BG160" s="3" t="s">
        <v>8</v>
      </c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CQ160" s="3"/>
    </row>
    <row r="161" spans="1:95" x14ac:dyDescent="0.2">
      <c r="A161" s="23"/>
      <c r="B161" s="3"/>
      <c r="C161" s="3"/>
      <c r="D161" s="71">
        <f>+C174-D165-D169-D172-D176-D179-D185-D188-D182</f>
        <v>56.649287725784802</v>
      </c>
      <c r="E161" s="71"/>
      <c r="F161" s="3" t="s">
        <v>0</v>
      </c>
      <c r="G161" s="3"/>
      <c r="H161" s="31"/>
      <c r="I161" s="32"/>
      <c r="J161" s="32"/>
      <c r="K161" s="32"/>
      <c r="L161" s="32"/>
      <c r="M161" s="32"/>
      <c r="N161" s="74">
        <v>11</v>
      </c>
      <c r="O161" s="74"/>
      <c r="P161" s="32"/>
      <c r="Q161" s="74">
        <v>12</v>
      </c>
      <c r="R161" s="74"/>
      <c r="S161" s="32"/>
      <c r="T161" s="32"/>
      <c r="U161" s="32"/>
      <c r="V161" s="32"/>
      <c r="W161" s="32"/>
      <c r="X161" s="32"/>
      <c r="Y161" s="32"/>
      <c r="Z161" s="32"/>
      <c r="AA161" s="33"/>
      <c r="AB161" s="3"/>
      <c r="AC161" s="3"/>
      <c r="AD161" s="3"/>
      <c r="AE161" s="3"/>
      <c r="AF161" s="3"/>
      <c r="AG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5"/>
      <c r="BG161" s="3" t="s">
        <v>9</v>
      </c>
      <c r="BH161" s="3"/>
      <c r="BI161" s="71">
        <f>0.63-2*BI162</f>
        <v>0.29956521739130437</v>
      </c>
      <c r="BJ161" s="71"/>
      <c r="BK161" s="71"/>
      <c r="BL161" s="3" t="s">
        <v>10</v>
      </c>
      <c r="BM161" s="3" t="s">
        <v>11</v>
      </c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CQ161" s="3"/>
    </row>
    <row r="162" spans="1:95" x14ac:dyDescent="0.2">
      <c r="A162" s="23"/>
      <c r="B162" s="3"/>
      <c r="C162" s="3"/>
      <c r="D162" s="3"/>
      <c r="E162" s="3"/>
      <c r="F162" s="3"/>
      <c r="G162" s="3"/>
      <c r="H162" s="31"/>
      <c r="I162" s="32"/>
      <c r="J162" s="32"/>
      <c r="K162" s="32"/>
      <c r="L162" s="32">
        <v>10</v>
      </c>
      <c r="M162" s="32"/>
      <c r="N162" s="32"/>
      <c r="O162" s="32"/>
      <c r="P162" s="32"/>
      <c r="Q162" s="32"/>
      <c r="R162" s="32"/>
      <c r="S162" s="32"/>
      <c r="T162" s="32">
        <v>13</v>
      </c>
      <c r="U162" s="32"/>
      <c r="V162" s="32"/>
      <c r="W162" s="70"/>
      <c r="X162" s="32"/>
      <c r="Y162" s="32"/>
      <c r="Z162" s="32"/>
      <c r="AA162" s="33"/>
      <c r="AB162" s="3"/>
      <c r="AC162" s="79" t="s">
        <v>0</v>
      </c>
      <c r="AD162" s="3"/>
      <c r="AE162" s="79" t="s">
        <v>0</v>
      </c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5"/>
      <c r="BG162" s="3" t="s">
        <v>12</v>
      </c>
      <c r="BH162" s="3"/>
      <c r="BI162" s="71">
        <f>BL157/BL163</f>
        <v>0.16521739130434782</v>
      </c>
      <c r="BJ162" s="71"/>
      <c r="BK162" s="71"/>
      <c r="BL162" s="3" t="s">
        <v>10</v>
      </c>
      <c r="BM162" s="3" t="s">
        <v>13</v>
      </c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</row>
    <row r="163" spans="1:95" x14ac:dyDescent="0.2">
      <c r="A163" s="23"/>
      <c r="B163" s="3"/>
      <c r="C163" s="3"/>
      <c r="D163" s="3"/>
      <c r="E163" s="3"/>
      <c r="F163" s="3"/>
      <c r="G163" s="3"/>
      <c r="H163" s="31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>
        <v>14</v>
      </c>
      <c r="X163" s="32"/>
      <c r="Y163" s="70"/>
      <c r="Z163" s="32"/>
      <c r="AA163" s="33"/>
      <c r="AB163" s="3"/>
      <c r="AC163" s="79"/>
      <c r="AD163" s="3"/>
      <c r="AE163" s="79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5"/>
      <c r="BG163" s="3" t="s">
        <v>14</v>
      </c>
      <c r="BH163" s="3"/>
      <c r="BI163" s="3"/>
      <c r="BJ163" s="3"/>
      <c r="BK163" s="3"/>
      <c r="BL163" s="72">
        <v>23</v>
      </c>
      <c r="BM163" s="72"/>
      <c r="BN163" s="3" t="s">
        <v>4</v>
      </c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</row>
    <row r="164" spans="1:95" x14ac:dyDescent="0.2">
      <c r="A164" s="23"/>
      <c r="B164" s="3"/>
      <c r="C164" s="3"/>
      <c r="H164" s="31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3"/>
      <c r="AB164" s="3"/>
      <c r="AC164" s="79">
        <f>+K191+Q191/2</f>
        <v>132.5</v>
      </c>
      <c r="AD164" s="3"/>
      <c r="AE164" s="79">
        <f>+C174-AE178</f>
        <v>120</v>
      </c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9"/>
      <c r="BB164" s="9"/>
      <c r="BC164" s="23"/>
      <c r="BG164" s="3">
        <v>2</v>
      </c>
      <c r="BH164" s="51" t="s">
        <v>15</v>
      </c>
      <c r="BI164" s="71">
        <f>+BI162</f>
        <v>0.16521739130434782</v>
      </c>
      <c r="BJ164" s="71"/>
      <c r="BK164" s="71"/>
      <c r="BL164" s="51" t="s">
        <v>16</v>
      </c>
      <c r="BM164" s="71">
        <f>+BI161</f>
        <v>0.29956521739130437</v>
      </c>
      <c r="BN164" s="71"/>
      <c r="BO164" s="71"/>
      <c r="BP164" s="51" t="s">
        <v>17</v>
      </c>
      <c r="BQ164" s="71">
        <f>+BG164*BI164+BM164</f>
        <v>0.63</v>
      </c>
      <c r="BR164" s="71"/>
      <c r="BS164" s="71"/>
      <c r="BT164" s="3" t="s">
        <v>10</v>
      </c>
      <c r="BU164" s="3"/>
      <c r="BV164" s="16" t="str">
        <f>IF(BQ164=0.63,"uygun.","uygun değil.")</f>
        <v>uygun.</v>
      </c>
      <c r="BW164" s="3"/>
      <c r="BX164" s="3"/>
      <c r="BY164" s="3"/>
    </row>
    <row r="165" spans="1:95" x14ac:dyDescent="0.2">
      <c r="A165" s="23"/>
      <c r="B165" s="3"/>
      <c r="C165" s="3"/>
      <c r="D165" s="71">
        <f>((S176+S177+S178+S180+S182+S186+S188+S184)*(K195+4*AI159)/(4*AI159))-((S177+S178+S180+S182+S186+S188+S184)*(K195+5*AI159)/(5*AI159))</f>
        <v>47.295027040861612</v>
      </c>
      <c r="E165" s="71"/>
      <c r="F165" s="3" t="s">
        <v>0</v>
      </c>
      <c r="G165" s="3"/>
      <c r="H165" s="31"/>
      <c r="I165" s="32"/>
      <c r="J165" s="32"/>
      <c r="K165" s="32">
        <v>9</v>
      </c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>
        <v>15</v>
      </c>
      <c r="Y165" s="32"/>
      <c r="Z165" s="32"/>
      <c r="AA165" s="33"/>
      <c r="AB165" s="3"/>
      <c r="AC165" s="79"/>
      <c r="AD165" s="3"/>
      <c r="AE165" s="79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9"/>
      <c r="BB165" s="9"/>
      <c r="BC165" s="23"/>
    </row>
    <row r="166" spans="1:95" x14ac:dyDescent="0.2">
      <c r="A166" s="23"/>
      <c r="B166" s="3"/>
      <c r="C166" s="3"/>
      <c r="D166" s="3"/>
      <c r="E166" s="3"/>
      <c r="F166" s="3"/>
      <c r="G166" s="3"/>
      <c r="H166" s="31"/>
      <c r="I166" s="32"/>
      <c r="J166" s="32"/>
      <c r="K166" s="32"/>
      <c r="L166" s="32"/>
      <c r="M166" s="32"/>
      <c r="N166" s="32"/>
      <c r="O166" s="32"/>
      <c r="P166" s="32"/>
      <c r="Q166" s="20">
        <v>5</v>
      </c>
      <c r="R166" s="32" t="s">
        <v>0</v>
      </c>
      <c r="S166" s="32"/>
      <c r="T166" s="32"/>
      <c r="U166" s="32"/>
      <c r="V166" s="32"/>
      <c r="W166" s="32"/>
      <c r="X166" s="32"/>
      <c r="Y166" s="32"/>
      <c r="Z166" s="32"/>
      <c r="AA166" s="33"/>
      <c r="AB166" s="3"/>
      <c r="AC166" s="79"/>
      <c r="AD166" s="3"/>
      <c r="AE166" s="79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9"/>
      <c r="BB166" s="9"/>
      <c r="BC166" s="23"/>
    </row>
    <row r="167" spans="1:95" x14ac:dyDescent="0.2">
      <c r="A167" s="23"/>
      <c r="B167" s="3"/>
      <c r="C167" s="3"/>
      <c r="D167" s="3"/>
      <c r="E167" s="3"/>
      <c r="F167" s="3"/>
      <c r="G167" s="3"/>
      <c r="H167" s="31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70"/>
      <c r="Z167" s="32"/>
      <c r="AA167" s="3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9"/>
      <c r="BB167" s="9"/>
      <c r="BC167" s="23"/>
      <c r="BG167" s="1" t="s">
        <v>19</v>
      </c>
    </row>
    <row r="168" spans="1:95" x14ac:dyDescent="0.2">
      <c r="A168" s="23"/>
      <c r="B168" s="3"/>
      <c r="C168" s="3"/>
      <c r="D168" s="3"/>
      <c r="E168" s="3"/>
      <c r="F168" s="3"/>
      <c r="G168" s="3"/>
      <c r="H168" s="31"/>
      <c r="I168" s="32"/>
      <c r="J168" s="32">
        <v>8</v>
      </c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>
        <v>16</v>
      </c>
      <c r="Z168" s="32"/>
      <c r="AA168" s="3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9"/>
      <c r="AN168" s="9"/>
      <c r="AO168" s="9"/>
      <c r="AP168" s="9"/>
      <c r="AQ168" s="9"/>
      <c r="AR168" s="9"/>
      <c r="AS168" s="9"/>
      <c r="AT168" s="3"/>
      <c r="AU168" s="3"/>
      <c r="AV168" s="3"/>
      <c r="AW168" s="3"/>
      <c r="AX168" s="3"/>
      <c r="AY168" s="3"/>
      <c r="AZ168" s="3"/>
      <c r="BA168" s="9"/>
      <c r="BB168" s="9"/>
      <c r="BC168" s="23"/>
      <c r="BG168" s="4" t="s">
        <v>2</v>
      </c>
    </row>
    <row r="169" spans="1:95" x14ac:dyDescent="0.2">
      <c r="A169" s="23"/>
      <c r="B169" s="3"/>
      <c r="D169" s="71">
        <f>7*AP157*(I193+N193+AI159*5)/(N193+AI159*5)-D179-D176-D172-D185-D188-D182</f>
        <v>42.417570917261173</v>
      </c>
      <c r="E169" s="71"/>
      <c r="F169" s="3" t="s">
        <v>0</v>
      </c>
      <c r="G169" s="3"/>
      <c r="H169" s="31"/>
      <c r="I169" s="32"/>
      <c r="J169" s="32"/>
      <c r="K169" s="32"/>
      <c r="L169" s="32"/>
      <c r="M169" s="74">
        <f>+Q191/2</f>
        <v>12.5</v>
      </c>
      <c r="N169" s="74"/>
      <c r="O169" s="32"/>
      <c r="P169" s="32"/>
      <c r="Q169" s="6"/>
      <c r="R169" s="7"/>
      <c r="S169" s="80">
        <f>Q166*K191/(P156-Q166)</f>
        <v>29.542374734237598</v>
      </c>
      <c r="T169" s="81"/>
      <c r="U169" s="74" t="s">
        <v>0</v>
      </c>
      <c r="V169" s="32"/>
      <c r="W169" s="32"/>
      <c r="X169" s="32"/>
      <c r="Y169" s="32"/>
      <c r="Z169" s="32"/>
      <c r="AA169" s="3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23"/>
    </row>
    <row r="170" spans="1:95" x14ac:dyDescent="0.2">
      <c r="A170" s="23"/>
      <c r="B170" s="3"/>
      <c r="D170" s="3"/>
      <c r="E170" s="3"/>
      <c r="F170" s="3"/>
      <c r="G170" s="3"/>
      <c r="H170" s="31"/>
      <c r="I170" s="32"/>
      <c r="J170" s="32"/>
      <c r="K170" s="32"/>
      <c r="L170" s="32"/>
      <c r="M170" s="32"/>
      <c r="N170" s="32"/>
      <c r="O170" s="32"/>
      <c r="P170" s="32"/>
      <c r="Q170" s="8"/>
      <c r="R170" s="10"/>
      <c r="S170" s="80"/>
      <c r="T170" s="81"/>
      <c r="U170" s="74"/>
      <c r="V170" s="32"/>
      <c r="W170" s="32"/>
      <c r="X170" s="32"/>
      <c r="Y170" s="32"/>
      <c r="Z170" s="32"/>
      <c r="AA170" s="3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M170" s="3"/>
      <c r="AN170" s="3"/>
      <c r="AO170" s="3"/>
      <c r="AP170" s="3"/>
      <c r="AQ170" s="3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23"/>
      <c r="BG170" s="1" t="s">
        <v>20</v>
      </c>
    </row>
    <row r="171" spans="1:95" x14ac:dyDescent="0.2">
      <c r="A171" s="23"/>
      <c r="B171" s="3"/>
      <c r="D171" s="3"/>
      <c r="E171" s="3"/>
      <c r="F171" s="3"/>
      <c r="G171" s="3"/>
      <c r="H171" s="31"/>
      <c r="I171" s="32"/>
      <c r="J171" s="32">
        <v>7</v>
      </c>
      <c r="K171" s="32"/>
      <c r="L171" s="32"/>
      <c r="M171" s="32"/>
      <c r="N171" s="32"/>
      <c r="O171" s="32"/>
      <c r="P171" s="32"/>
      <c r="Q171" s="8"/>
      <c r="R171" s="10"/>
      <c r="S171" s="70"/>
      <c r="T171" s="32"/>
      <c r="U171" s="32"/>
      <c r="V171" s="32"/>
      <c r="W171" s="32"/>
      <c r="X171" s="32"/>
      <c r="Y171" s="32">
        <v>17</v>
      </c>
      <c r="Z171" s="32"/>
      <c r="AA171" s="3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M171" s="3"/>
      <c r="AN171" s="3"/>
      <c r="AO171" s="3"/>
      <c r="AP171" s="3"/>
      <c r="AQ171" s="3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23"/>
    </row>
    <row r="172" spans="1:95" x14ac:dyDescent="0.2">
      <c r="A172" s="23"/>
      <c r="B172" s="3"/>
      <c r="C172" s="79" t="s">
        <v>0</v>
      </c>
      <c r="D172" s="71">
        <f>6*AP157*(I193+N193+AI159*6)/(N193+AI159*6)-D179-D176-D185-D188-D182</f>
        <v>39.658418110277495</v>
      </c>
      <c r="E172" s="71"/>
      <c r="F172" s="3" t="s">
        <v>0</v>
      </c>
      <c r="G172" s="3"/>
      <c r="H172" s="31"/>
      <c r="I172" s="32"/>
      <c r="J172" s="32"/>
      <c r="K172" s="32"/>
      <c r="L172" s="32"/>
      <c r="M172" s="32"/>
      <c r="N172" s="32"/>
      <c r="O172" s="32"/>
      <c r="P172" s="32"/>
      <c r="Q172" s="8"/>
      <c r="R172" s="10"/>
      <c r="S172" s="73">
        <f>(N193*SIN((1.5*AP157*360/(2*PI()*N193))*PI()/180))*((N193*COS((1.5*AP157*360/(2*PI()*N193))*PI()/180))+AC178)/((N193*SIN((1.5*AP157*360/(2*PI()*N193))*PI()/180))+2*AI159)-(N193*COS((1.5*AP157*360/(2*PI()*N193))*PI()/180))+M169-S169</f>
        <v>30.689969658792265</v>
      </c>
      <c r="T172" s="74"/>
      <c r="U172" s="32" t="s">
        <v>0</v>
      </c>
      <c r="V172" s="32"/>
      <c r="W172" s="32"/>
      <c r="X172" s="32"/>
      <c r="Y172" s="32"/>
      <c r="Z172" s="32"/>
      <c r="AA172" s="33"/>
      <c r="AB172" s="3"/>
      <c r="AC172" s="3"/>
      <c r="AD172" s="3"/>
      <c r="AF172" s="3"/>
      <c r="AG172" s="3"/>
      <c r="AH172" s="3"/>
      <c r="AI172" s="3"/>
      <c r="AJ172" s="3"/>
      <c r="AK172" s="3"/>
      <c r="AM172" s="3"/>
      <c r="AN172" s="3"/>
      <c r="AO172" s="3"/>
      <c r="AP172" s="3"/>
      <c r="AQ172" s="3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23"/>
    </row>
    <row r="173" spans="1:95" x14ac:dyDescent="0.2">
      <c r="A173" s="23"/>
      <c r="B173" s="3"/>
      <c r="C173" s="79"/>
      <c r="G173" s="3"/>
      <c r="H173" s="31"/>
      <c r="I173" s="32"/>
      <c r="J173" s="32"/>
      <c r="K173" s="32"/>
      <c r="L173" s="32"/>
      <c r="M173" s="32"/>
      <c r="N173" s="32"/>
      <c r="O173" s="32"/>
      <c r="P173" s="32"/>
      <c r="Q173" s="8"/>
      <c r="R173" s="10"/>
      <c r="S173" s="70"/>
      <c r="T173" s="70"/>
      <c r="U173" s="70"/>
      <c r="V173" s="32"/>
      <c r="W173" s="32"/>
      <c r="X173" s="32"/>
      <c r="Y173" s="32"/>
      <c r="Z173" s="32"/>
      <c r="AA173" s="33"/>
      <c r="AB173" s="3"/>
      <c r="AD173" s="3"/>
      <c r="AF173" s="3"/>
      <c r="AG173" s="3"/>
      <c r="AH173" s="3"/>
      <c r="AI173" s="3"/>
      <c r="AJ173" s="3"/>
      <c r="AK173" s="3"/>
      <c r="AM173" s="3"/>
      <c r="AN173" s="3"/>
      <c r="AO173" s="3"/>
      <c r="AP173" s="3"/>
      <c r="AQ173" s="3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23"/>
    </row>
    <row r="174" spans="1:95" x14ac:dyDescent="0.2">
      <c r="A174" s="23"/>
      <c r="B174" s="3"/>
      <c r="C174" s="79">
        <f>+AC164+AC178</f>
        <v>363.61726630737002</v>
      </c>
      <c r="D174" s="3"/>
      <c r="E174" s="3"/>
      <c r="F174" s="3"/>
      <c r="G174" s="3"/>
      <c r="H174" s="31"/>
      <c r="I174" s="32"/>
      <c r="J174" s="32">
        <v>6</v>
      </c>
      <c r="K174" s="32"/>
      <c r="L174" s="32"/>
      <c r="M174" s="32"/>
      <c r="N174" s="32"/>
      <c r="O174" s="32"/>
      <c r="P174" s="32"/>
      <c r="Q174" s="8"/>
      <c r="R174" s="10"/>
      <c r="S174" s="73">
        <f>(N193*SIN((2.5*AP157*360/(2*PI()*N193))*PI()/180))*((N193*COS((2.5*AP157*360/(2*PI()*N193))*PI()/180))+AC178)/((N193*SIN((2.5*AP157*360/(2*PI()*N193))*PI()/180))+3*AI159)-(N193*COS((2.5*AP157*360/(2*PI()*N193))*PI()/180))+M169-S169-S172</f>
        <v>12.944672185188168</v>
      </c>
      <c r="T174" s="74"/>
      <c r="U174" s="32" t="s">
        <v>0</v>
      </c>
      <c r="V174" s="32"/>
      <c r="W174" s="32"/>
      <c r="X174" s="32"/>
      <c r="Y174" s="32">
        <v>18</v>
      </c>
      <c r="Z174" s="32"/>
      <c r="AA174" s="33"/>
      <c r="AB174" s="3"/>
      <c r="AD174" s="3"/>
      <c r="AF174" s="3"/>
      <c r="AG174" s="3"/>
      <c r="AH174" s="3"/>
      <c r="AJ174" s="3"/>
      <c r="AM174" s="3"/>
      <c r="AN174" s="3"/>
      <c r="AO174" s="3"/>
      <c r="AP174" s="3"/>
      <c r="AQ174" s="3"/>
      <c r="AT174" s="9"/>
      <c r="AU174" s="9"/>
      <c r="AV174" s="9"/>
      <c r="AW174" s="9"/>
      <c r="AX174" s="9"/>
      <c r="AY174" s="9"/>
      <c r="AZ174" s="9"/>
      <c r="BA174" s="9"/>
      <c r="BB174" s="9"/>
      <c r="BC174" s="23"/>
    </row>
    <row r="175" spans="1:95" x14ac:dyDescent="0.2">
      <c r="A175" s="23"/>
      <c r="B175" s="3"/>
      <c r="C175" s="79"/>
      <c r="D175" s="3"/>
      <c r="E175" s="3"/>
      <c r="F175" s="3"/>
      <c r="G175" s="3"/>
      <c r="H175" s="31"/>
      <c r="I175" s="32"/>
      <c r="J175" s="32"/>
      <c r="K175" s="32"/>
      <c r="L175" s="32"/>
      <c r="M175" s="32"/>
      <c r="N175" s="32"/>
      <c r="O175" s="32"/>
      <c r="P175" s="32"/>
      <c r="Q175" s="8"/>
      <c r="R175" s="10"/>
      <c r="S175" s="73">
        <f>(N193*SIN((3.5*AP157*360/(2*PI()*N193))*PI()/180))*((N193*COS((3.5*AP157*360/(2*PI()*N193))*PI()/180))+AC178)/((N193*SIN((3.5*AP157*360/(2*PI()*N193))*PI()/180))+4*AI159)-(N193*COS((3.5*AP157*360/(2*PI()*N193))*PI()/180))+M169-S169-S172-S174</f>
        <v>10.080954141712837</v>
      </c>
      <c r="T175" s="74"/>
      <c r="U175" s="32" t="s">
        <v>0</v>
      </c>
      <c r="V175" s="32"/>
      <c r="W175" s="32"/>
      <c r="X175" s="32"/>
      <c r="Y175" s="32"/>
      <c r="Z175" s="32"/>
      <c r="AA175" s="33"/>
      <c r="AB175" s="3"/>
      <c r="AD175" s="3"/>
      <c r="AF175" s="3"/>
      <c r="AG175" s="3"/>
      <c r="AH175" s="3"/>
      <c r="AJ175" s="3"/>
      <c r="AL175" s="3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23"/>
    </row>
    <row r="176" spans="1:95" x14ac:dyDescent="0.2">
      <c r="A176" s="23"/>
      <c r="B176" s="3"/>
      <c r="C176" s="79"/>
      <c r="D176" s="71">
        <f>5*AP157*(I193+N193+AI159*7)/(N193+AI159*7)-D179-D185-D188-D182</f>
        <v>37.726928156560035</v>
      </c>
      <c r="E176" s="71"/>
      <c r="F176" s="3" t="s">
        <v>0</v>
      </c>
      <c r="G176" s="3"/>
      <c r="H176" s="31"/>
      <c r="I176" s="32"/>
      <c r="J176" s="32"/>
      <c r="K176" s="32"/>
      <c r="L176" s="32"/>
      <c r="M176" s="32"/>
      <c r="N176" s="32"/>
      <c r="O176" s="32"/>
      <c r="P176" s="32"/>
      <c r="Q176" s="8"/>
      <c r="R176" s="10"/>
      <c r="S176" s="73">
        <f>+AC178+M169-S169-S172-S174-S175-S177-S178-S180-S182-S186-S188-S184</f>
        <v>10.38077869914687</v>
      </c>
      <c r="T176" s="74"/>
      <c r="U176" s="32" t="s">
        <v>0</v>
      </c>
      <c r="V176" s="32"/>
      <c r="W176" s="32"/>
      <c r="X176" s="32"/>
      <c r="Y176" s="32"/>
      <c r="Z176" s="32"/>
      <c r="AA176" s="33"/>
      <c r="AB176" s="3"/>
      <c r="AC176" s="79" t="s">
        <v>0</v>
      </c>
      <c r="AD176" s="3"/>
      <c r="AE176" s="79" t="s">
        <v>0</v>
      </c>
      <c r="AF176" s="3"/>
      <c r="AG176" s="3"/>
      <c r="AH176" s="3"/>
      <c r="AJ176" s="3"/>
      <c r="AL176" s="3"/>
      <c r="AM176" s="3"/>
      <c r="AN176" s="3"/>
      <c r="AO176" s="3"/>
      <c r="AP176" s="3"/>
      <c r="AQ176" s="3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23"/>
    </row>
    <row r="177" spans="1:55" x14ac:dyDescent="0.2">
      <c r="A177" s="23"/>
      <c r="B177" s="3"/>
      <c r="C177" s="3"/>
      <c r="D177" s="3"/>
      <c r="E177" s="3"/>
      <c r="F177" s="3"/>
      <c r="G177" s="3"/>
      <c r="H177" s="31"/>
      <c r="I177" s="32"/>
      <c r="J177" s="32">
        <v>5</v>
      </c>
      <c r="K177" s="32"/>
      <c r="L177" s="32"/>
      <c r="M177" s="32"/>
      <c r="N177" s="32"/>
      <c r="O177" s="32"/>
      <c r="P177" s="32"/>
      <c r="Q177" s="8"/>
      <c r="R177" s="10"/>
      <c r="S177" s="73">
        <f>7*AP157-((D179+D176+D172+D169+D185+D188+D182)-7*AP157)*N193/I193-S182-S180-S178-S186-S188-S184</f>
        <v>14.995435141642755</v>
      </c>
      <c r="T177" s="74"/>
      <c r="U177" s="32" t="s">
        <v>0</v>
      </c>
      <c r="V177" s="32"/>
      <c r="W177" s="32"/>
      <c r="X177" s="32"/>
      <c r="Y177" s="32">
        <v>19</v>
      </c>
      <c r="Z177" s="32"/>
      <c r="AA177" s="33"/>
      <c r="AB177" s="3"/>
      <c r="AC177" s="79"/>
      <c r="AD177" s="3"/>
      <c r="AE177" s="79"/>
      <c r="AF177" s="3"/>
      <c r="AG177" s="3"/>
      <c r="AH177" s="3"/>
      <c r="AJ177" s="3"/>
      <c r="AL177" s="3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23"/>
    </row>
    <row r="178" spans="1:55" x14ac:dyDescent="0.2">
      <c r="A178" s="23"/>
      <c r="B178" s="3"/>
      <c r="C178" s="3"/>
      <c r="D178" s="3"/>
      <c r="E178" s="3"/>
      <c r="F178" s="3"/>
      <c r="G178" s="3"/>
      <c r="H178" s="31"/>
      <c r="I178" s="32"/>
      <c r="J178" s="32"/>
      <c r="K178" s="32"/>
      <c r="L178" s="32"/>
      <c r="M178" s="32"/>
      <c r="N178" s="32"/>
      <c r="O178" s="32"/>
      <c r="P178" s="32"/>
      <c r="Q178" s="8"/>
      <c r="R178" s="10"/>
      <c r="S178" s="73">
        <f>6*AP157-((D179+D176+D172+D185+D188+D182)-6*AP157)*N193/I193-S182-S180-S186-S188-S184</f>
        <v>18.329411450081349</v>
      </c>
      <c r="T178" s="74"/>
      <c r="U178" s="74" t="s">
        <v>0</v>
      </c>
      <c r="V178" s="32"/>
      <c r="W178" s="32"/>
      <c r="X178" s="32"/>
      <c r="Y178" s="32"/>
      <c r="Z178" s="32"/>
      <c r="AA178" s="33"/>
      <c r="AB178" s="3"/>
      <c r="AC178" s="79">
        <f>(11.5*AP157)-(2*PI()*N193*90/360)</f>
        <v>231.11726630737002</v>
      </c>
      <c r="AD178" s="3"/>
      <c r="AE178" s="79">
        <f>+AC178+M169</f>
        <v>243.61726630737002</v>
      </c>
      <c r="AF178" s="3"/>
      <c r="AG178" s="3"/>
      <c r="AH178" s="3"/>
      <c r="AJ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5"/>
    </row>
    <row r="179" spans="1:55" x14ac:dyDescent="0.2">
      <c r="A179" s="23"/>
      <c r="B179" s="3"/>
      <c r="C179" s="3"/>
      <c r="D179" s="71">
        <f>4*AP157*(I193+N193+AI159*8)/(N193+AI159*8)-D185-D188-D182</f>
        <v>36.322160177653274</v>
      </c>
      <c r="E179" s="71"/>
      <c r="F179" s="3" t="s">
        <v>0</v>
      </c>
      <c r="G179" s="3"/>
      <c r="H179" s="31"/>
      <c r="I179" s="32"/>
      <c r="J179" s="32"/>
      <c r="K179" s="32"/>
      <c r="L179" s="32"/>
      <c r="M179" s="32"/>
      <c r="N179" s="32"/>
      <c r="O179" s="32"/>
      <c r="P179" s="32"/>
      <c r="Q179" s="8"/>
      <c r="R179" s="10"/>
      <c r="S179" s="73"/>
      <c r="T179" s="74"/>
      <c r="U179" s="74"/>
      <c r="V179" s="32"/>
      <c r="W179" s="32"/>
      <c r="X179" s="32"/>
      <c r="Y179" s="32"/>
      <c r="Z179" s="32"/>
      <c r="AA179" s="33"/>
      <c r="AB179" s="3"/>
      <c r="AC179" s="79"/>
      <c r="AD179" s="3"/>
      <c r="AE179" s="79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5"/>
    </row>
    <row r="180" spans="1:55" x14ac:dyDescent="0.2">
      <c r="A180" s="23"/>
      <c r="B180" s="3"/>
      <c r="C180" s="3"/>
      <c r="D180" s="3"/>
      <c r="E180" s="3"/>
      <c r="F180" s="3"/>
      <c r="G180" s="3"/>
      <c r="H180" s="31"/>
      <c r="I180" s="32"/>
      <c r="J180" s="32">
        <v>4</v>
      </c>
      <c r="K180" s="32"/>
      <c r="L180" s="32"/>
      <c r="M180" s="32"/>
      <c r="N180" s="32"/>
      <c r="O180" s="32"/>
      <c r="P180" s="32"/>
      <c r="Q180" s="8"/>
      <c r="R180" s="10"/>
      <c r="S180" s="73">
        <f>5*AP157-((D179+D176+D185+D188+D182)-5*AP157)*N193/I193-S182-S186-S188-S184</f>
        <v>20.663295144156617</v>
      </c>
      <c r="T180" s="74"/>
      <c r="U180" s="32" t="s">
        <v>0</v>
      </c>
      <c r="V180" s="32"/>
      <c r="W180" s="32"/>
      <c r="X180" s="32"/>
      <c r="Y180" s="32">
        <v>20</v>
      </c>
      <c r="Z180" s="32"/>
      <c r="AA180" s="33"/>
      <c r="AB180" s="3"/>
      <c r="AC180" s="79"/>
      <c r="AD180" s="3"/>
      <c r="AE180" s="79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5"/>
    </row>
    <row r="181" spans="1:55" x14ac:dyDescent="0.2">
      <c r="A181" s="23"/>
      <c r="B181" s="3"/>
      <c r="H181" s="31"/>
      <c r="I181" s="32"/>
      <c r="J181" s="32"/>
      <c r="K181" s="32"/>
      <c r="L181" s="32"/>
      <c r="M181" s="32"/>
      <c r="N181" s="32"/>
      <c r="O181" s="32"/>
      <c r="P181" s="32"/>
      <c r="Q181" s="8"/>
      <c r="R181" s="10"/>
      <c r="S181" s="70"/>
      <c r="T181" s="70"/>
      <c r="U181" s="70"/>
      <c r="V181" s="32"/>
      <c r="W181" s="32"/>
      <c r="X181" s="32"/>
      <c r="Y181" s="32"/>
      <c r="Z181" s="32"/>
      <c r="AA181" s="33"/>
      <c r="AG181" s="3"/>
      <c r="AH181" s="3"/>
      <c r="AX181" s="3"/>
      <c r="AY181" s="3"/>
      <c r="AZ181" s="3"/>
      <c r="BA181" s="3"/>
      <c r="BB181" s="3"/>
      <c r="BC181" s="5"/>
    </row>
    <row r="182" spans="1:55" x14ac:dyDescent="0.2">
      <c r="A182" s="23"/>
      <c r="B182" s="3"/>
      <c r="D182" s="71">
        <f>3*AP157*(I193+N193+AI159*9)/(N193+AI159*9)-D185-D188</f>
        <v>35.268554851234398</v>
      </c>
      <c r="E182" s="71"/>
      <c r="F182" s="3" t="s">
        <v>0</v>
      </c>
      <c r="H182" s="31"/>
      <c r="I182" s="32"/>
      <c r="J182" s="32">
        <v>3</v>
      </c>
      <c r="K182" s="32"/>
      <c r="L182" s="32"/>
      <c r="M182" s="32"/>
      <c r="N182" s="32"/>
      <c r="O182" s="32"/>
      <c r="P182" s="32"/>
      <c r="Q182" s="8"/>
      <c r="R182" s="10"/>
      <c r="S182" s="74">
        <f>4*AP157-((D185+D179+D188+D182)-4*AP157)*N193/I193-S186-S188-S184</f>
        <v>22.360723118668968</v>
      </c>
      <c r="T182" s="74"/>
      <c r="U182" s="32" t="s">
        <v>0</v>
      </c>
      <c r="V182" s="32"/>
      <c r="W182" s="32"/>
      <c r="X182" s="32"/>
      <c r="Y182" s="32"/>
      <c r="Z182" s="32"/>
      <c r="AA182" s="33"/>
      <c r="AG182" s="3"/>
      <c r="AH182" s="3"/>
      <c r="AK182" s="3"/>
      <c r="AL182" s="3"/>
      <c r="AM182" s="3"/>
      <c r="AN182" s="3"/>
      <c r="AO182" s="3"/>
      <c r="AP182" s="3"/>
      <c r="AQ182" s="3"/>
      <c r="AX182" s="3"/>
      <c r="AY182" s="3"/>
      <c r="AZ182" s="3"/>
      <c r="BA182" s="3"/>
      <c r="BB182" s="3"/>
      <c r="BC182" s="5"/>
    </row>
    <row r="183" spans="1:55" x14ac:dyDescent="0.2">
      <c r="A183" s="23"/>
      <c r="B183" s="3"/>
      <c r="C183" s="3"/>
      <c r="D183" s="3"/>
      <c r="E183" s="3"/>
      <c r="F183" s="3"/>
      <c r="G183" s="3"/>
      <c r="H183" s="31"/>
      <c r="I183" s="32"/>
      <c r="J183" s="32"/>
      <c r="K183" s="32"/>
      <c r="L183" s="32"/>
      <c r="M183" s="32"/>
      <c r="N183" s="32"/>
      <c r="O183" s="32"/>
      <c r="P183" s="32"/>
      <c r="Q183" s="8"/>
      <c r="R183" s="10"/>
      <c r="S183" s="70"/>
      <c r="T183" s="70"/>
      <c r="U183" s="70"/>
      <c r="V183" s="32"/>
      <c r="W183" s="32"/>
      <c r="X183" s="32"/>
      <c r="Y183" s="32">
        <v>21</v>
      </c>
      <c r="Z183" s="32"/>
      <c r="AA183" s="33"/>
      <c r="AB183" s="3"/>
      <c r="AC183" s="3"/>
      <c r="AD183" s="3"/>
      <c r="AE183" s="3"/>
      <c r="AF183" s="3"/>
      <c r="AG183" s="3"/>
      <c r="AH183" s="3"/>
      <c r="AX183" s="3"/>
      <c r="AY183" s="3"/>
      <c r="AZ183" s="3"/>
      <c r="BA183" s="3"/>
      <c r="BB183" s="3"/>
      <c r="BC183" s="5"/>
    </row>
    <row r="184" spans="1:55" x14ac:dyDescent="0.2">
      <c r="A184" s="23"/>
      <c r="B184" s="3"/>
      <c r="C184" s="3"/>
      <c r="G184" s="3"/>
      <c r="H184" s="31"/>
      <c r="I184" s="32"/>
      <c r="J184" s="32"/>
      <c r="K184" s="32"/>
      <c r="L184" s="32"/>
      <c r="M184" s="32"/>
      <c r="N184" s="32"/>
      <c r="O184" s="32"/>
      <c r="P184" s="32"/>
      <c r="Q184" s="8"/>
      <c r="R184" s="10"/>
      <c r="S184" s="74">
        <f>3*AP157-((D185+D182+D188)-3*AP157)*N193/I193-S186-S188</f>
        <v>23.633829554758439</v>
      </c>
      <c r="T184" s="74"/>
      <c r="U184" s="32" t="s">
        <v>0</v>
      </c>
      <c r="V184" s="32"/>
      <c r="W184" s="32"/>
      <c r="X184" s="32"/>
      <c r="Y184" s="32"/>
      <c r="Z184" s="32"/>
      <c r="AA184" s="33"/>
      <c r="AB184" s="3"/>
      <c r="AC184" s="3"/>
      <c r="AD184" s="3"/>
      <c r="AE184" s="3"/>
      <c r="AF184" s="3"/>
      <c r="AG184" s="3"/>
      <c r="AH184" s="3"/>
      <c r="AX184" s="3"/>
      <c r="AY184" s="3"/>
      <c r="AZ184" s="3"/>
      <c r="BA184" s="3"/>
      <c r="BB184" s="3"/>
      <c r="BC184" s="5"/>
    </row>
    <row r="185" spans="1:55" x14ac:dyDescent="0.2">
      <c r="A185" s="23"/>
      <c r="B185" s="3"/>
      <c r="C185" s="3"/>
      <c r="D185" s="77">
        <f>2*AP157*(I193+N193+AI159*10)/(N193+AI159*10)-D188</f>
        <v>34.458070463631685</v>
      </c>
      <c r="E185" s="77"/>
      <c r="F185" s="1" t="s">
        <v>0</v>
      </c>
      <c r="G185" s="3"/>
      <c r="H185" s="31"/>
      <c r="I185" s="32"/>
      <c r="J185" s="32">
        <v>2</v>
      </c>
      <c r="K185" s="32"/>
      <c r="L185" s="32"/>
      <c r="M185" s="32"/>
      <c r="N185" s="32"/>
      <c r="O185" s="32"/>
      <c r="P185" s="32"/>
      <c r="Q185" s="8"/>
      <c r="R185" s="10"/>
      <c r="S185" s="32"/>
      <c r="T185" s="32"/>
      <c r="U185" s="32"/>
      <c r="V185" s="32"/>
      <c r="W185" s="32"/>
      <c r="X185" s="32"/>
      <c r="Y185" s="32">
        <v>22</v>
      </c>
      <c r="Z185" s="32"/>
      <c r="AA185" s="33"/>
      <c r="AB185" s="3"/>
      <c r="AC185" s="3"/>
      <c r="AD185" s="3"/>
      <c r="AE185" s="3"/>
      <c r="AF185" s="3"/>
      <c r="AG185" s="3"/>
      <c r="AH185" s="3"/>
      <c r="AX185" s="3"/>
      <c r="AY185" s="3"/>
      <c r="AZ185" s="3"/>
      <c r="BA185" s="3"/>
      <c r="BB185" s="3"/>
      <c r="BC185" s="5"/>
    </row>
    <row r="186" spans="1:55" x14ac:dyDescent="0.2">
      <c r="A186" s="23"/>
      <c r="B186" s="3"/>
      <c r="C186" s="3"/>
      <c r="D186" s="3"/>
      <c r="E186" s="3"/>
      <c r="F186" s="3"/>
      <c r="G186" s="3"/>
      <c r="H186" s="31"/>
      <c r="I186" s="32"/>
      <c r="J186" s="32"/>
      <c r="K186" s="32"/>
      <c r="L186" s="32"/>
      <c r="M186" s="32"/>
      <c r="N186" s="32"/>
      <c r="O186" s="32"/>
      <c r="P186" s="32"/>
      <c r="Q186" s="8"/>
      <c r="R186" s="10"/>
      <c r="S186" s="73">
        <f>2*AP157-((D188+D185)-2*AP157)*N193/I193-S188</f>
        <v>24.613164856445042</v>
      </c>
      <c r="T186" s="74"/>
      <c r="U186" s="32" t="s">
        <v>0</v>
      </c>
      <c r="V186" s="32"/>
      <c r="W186" s="32"/>
      <c r="X186" s="32"/>
      <c r="Y186" s="32"/>
      <c r="Z186" s="32"/>
      <c r="AA186" s="33"/>
      <c r="AB186" s="3"/>
      <c r="AC186" s="3"/>
      <c r="AD186" s="3"/>
      <c r="AE186" s="3"/>
      <c r="AF186" s="3"/>
      <c r="AG186" s="3"/>
      <c r="AH186" s="3"/>
      <c r="AX186" s="3"/>
      <c r="AY186" s="3"/>
      <c r="AZ186" s="3"/>
      <c r="BA186" s="3"/>
      <c r="BB186" s="3"/>
      <c r="BC186" s="5"/>
    </row>
    <row r="187" spans="1:55" x14ac:dyDescent="0.2">
      <c r="A187" s="23"/>
      <c r="B187" s="3"/>
      <c r="C187" s="3"/>
      <c r="D187" s="3"/>
      <c r="E187" s="3"/>
      <c r="F187" s="3"/>
      <c r="G187" s="3"/>
      <c r="H187" s="31"/>
      <c r="I187" s="32"/>
      <c r="J187" s="32"/>
      <c r="K187" s="32"/>
      <c r="L187" s="32"/>
      <c r="M187" s="32"/>
      <c r="N187" s="32"/>
      <c r="O187" s="32"/>
      <c r="P187" s="32"/>
      <c r="Q187" s="8"/>
      <c r="R187" s="10"/>
      <c r="S187" s="32"/>
      <c r="T187" s="32"/>
      <c r="U187" s="32"/>
      <c r="V187" s="32"/>
      <c r="W187" s="32"/>
      <c r="X187" s="32"/>
      <c r="Y187" s="32"/>
      <c r="Z187" s="32"/>
      <c r="AA187" s="33"/>
      <c r="AB187" s="3"/>
      <c r="AC187" s="3"/>
      <c r="AD187" s="3"/>
      <c r="AE187" s="3"/>
      <c r="AF187" s="3"/>
      <c r="AG187" s="3"/>
      <c r="AH187" s="3"/>
      <c r="AX187" s="3"/>
      <c r="AY187" s="3"/>
      <c r="AZ187" s="3"/>
      <c r="BA187" s="3"/>
      <c r="BB187" s="3"/>
      <c r="BC187" s="5"/>
    </row>
    <row r="188" spans="1:55" x14ac:dyDescent="0.2">
      <c r="A188" s="23"/>
      <c r="B188" s="3"/>
      <c r="C188" s="3"/>
      <c r="D188" s="77">
        <f>1*AP157*(I193+N193+AI159*11)/(N193+AI159*11)</f>
        <v>33.821248864105542</v>
      </c>
      <c r="E188" s="77"/>
      <c r="F188" s="1" t="s">
        <v>0</v>
      </c>
      <c r="G188" s="3"/>
      <c r="H188" s="31"/>
      <c r="I188" s="32"/>
      <c r="J188" s="32">
        <v>1</v>
      </c>
      <c r="K188" s="32"/>
      <c r="L188" s="32"/>
      <c r="M188" s="32"/>
      <c r="N188" s="32"/>
      <c r="O188" s="32"/>
      <c r="P188" s="32"/>
      <c r="Q188" s="8"/>
      <c r="R188" s="10"/>
      <c r="S188" s="73">
        <f>AP157-(D188-AP157)*N193/I193</f>
        <v>25.382657622539138</v>
      </c>
      <c r="T188" s="74"/>
      <c r="U188" s="32" t="s">
        <v>0</v>
      </c>
      <c r="V188" s="32"/>
      <c r="W188" s="32"/>
      <c r="X188" s="32"/>
      <c r="Y188" s="32">
        <v>23</v>
      </c>
      <c r="Z188" s="32"/>
      <c r="AA188" s="33"/>
      <c r="AB188" s="3"/>
      <c r="AC188" s="3"/>
      <c r="AD188" s="3"/>
      <c r="AE188" s="3"/>
      <c r="AF188" s="3"/>
      <c r="AG188" s="3"/>
      <c r="AH188" s="3"/>
      <c r="AX188" s="3"/>
      <c r="AY188" s="3"/>
      <c r="AZ188" s="3"/>
      <c r="BA188" s="3"/>
      <c r="BB188" s="3"/>
      <c r="BC188" s="5"/>
    </row>
    <row r="189" spans="1:55" x14ac:dyDescent="0.2">
      <c r="A189" s="23"/>
      <c r="B189" s="3"/>
      <c r="C189" s="3"/>
      <c r="D189" s="3"/>
      <c r="E189" s="3"/>
      <c r="F189" s="3"/>
      <c r="G189" s="3"/>
      <c r="H189" s="35"/>
      <c r="I189" s="36"/>
      <c r="J189" s="36"/>
      <c r="K189" s="36"/>
      <c r="L189" s="36"/>
      <c r="M189" s="36"/>
      <c r="N189" s="36"/>
      <c r="O189" s="36"/>
      <c r="P189" s="36"/>
      <c r="Q189" s="11"/>
      <c r="R189" s="12"/>
      <c r="S189" s="36"/>
      <c r="T189" s="36"/>
      <c r="U189" s="36"/>
      <c r="V189" s="36"/>
      <c r="W189" s="36"/>
      <c r="X189" s="36"/>
      <c r="Y189" s="36"/>
      <c r="Z189" s="36"/>
      <c r="AA189" s="37"/>
      <c r="AB189" s="3"/>
      <c r="AC189" s="3"/>
      <c r="AD189" s="3"/>
      <c r="AE189" s="3"/>
      <c r="AF189" s="3"/>
      <c r="AG189" s="3"/>
      <c r="AH189" s="3"/>
      <c r="AX189" s="3"/>
      <c r="AY189" s="3"/>
      <c r="AZ189" s="3"/>
      <c r="BA189" s="3"/>
      <c r="BB189" s="3"/>
      <c r="BC189" s="5"/>
    </row>
    <row r="190" spans="1:55" x14ac:dyDescent="0.2">
      <c r="A190" s="2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X190" s="3"/>
      <c r="AY190" s="3"/>
      <c r="AZ190" s="3"/>
      <c r="BA190" s="3"/>
      <c r="BB190" s="3"/>
      <c r="BC190" s="5"/>
    </row>
    <row r="191" spans="1:55" x14ac:dyDescent="0.2">
      <c r="A191" s="23"/>
      <c r="B191" s="3"/>
      <c r="C191" s="3"/>
      <c r="D191" s="3"/>
      <c r="E191" s="3"/>
      <c r="F191" s="3"/>
      <c r="G191" s="3"/>
      <c r="H191" s="3"/>
      <c r="I191" s="3"/>
      <c r="J191" s="3"/>
      <c r="K191" s="78">
        <v>120</v>
      </c>
      <c r="L191" s="78"/>
      <c r="M191" s="3" t="s">
        <v>0</v>
      </c>
      <c r="N191" s="3"/>
      <c r="O191" s="3"/>
      <c r="P191" s="3"/>
      <c r="Q191" s="78">
        <v>25</v>
      </c>
      <c r="R191" s="78"/>
      <c r="S191" s="3" t="s">
        <v>0</v>
      </c>
      <c r="T191" s="3"/>
      <c r="U191" s="3"/>
      <c r="V191" s="71">
        <f>+K191</f>
        <v>120</v>
      </c>
      <c r="W191" s="71"/>
      <c r="X191" s="3" t="s">
        <v>0</v>
      </c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X191" s="3"/>
      <c r="AY191" s="3"/>
      <c r="AZ191" s="3"/>
      <c r="BA191" s="3"/>
      <c r="BB191" s="3"/>
      <c r="BC191" s="5"/>
    </row>
    <row r="192" spans="1:55" x14ac:dyDescent="0.2">
      <c r="A192" s="2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1" t="s">
        <v>9</v>
      </c>
      <c r="AK192" s="77">
        <f>+AP157</f>
        <v>30</v>
      </c>
      <c r="AL192" s="77"/>
      <c r="AM192" s="1" t="s">
        <v>0</v>
      </c>
      <c r="AX192" s="3"/>
      <c r="AY192" s="3"/>
      <c r="AZ192" s="3"/>
      <c r="BA192" s="3"/>
      <c r="BB192" s="3"/>
      <c r="BC192" s="5"/>
    </row>
    <row r="193" spans="1:96" x14ac:dyDescent="0.2">
      <c r="A193" s="23"/>
      <c r="B193" s="3"/>
      <c r="C193" s="3"/>
      <c r="D193" s="3"/>
      <c r="E193" s="3"/>
      <c r="F193" s="3"/>
      <c r="G193" s="3"/>
      <c r="H193" s="3"/>
      <c r="I193" s="71">
        <f>+K191/2</f>
        <v>60</v>
      </c>
      <c r="J193" s="71"/>
      <c r="K193" s="3" t="s">
        <v>0</v>
      </c>
      <c r="L193" s="3"/>
      <c r="M193" s="3"/>
      <c r="N193" s="71">
        <f>+K191/2+Q191/2</f>
        <v>72.5</v>
      </c>
      <c r="O193" s="71"/>
      <c r="P193" s="3" t="s">
        <v>0</v>
      </c>
      <c r="Q193" s="3"/>
      <c r="R193" s="3"/>
      <c r="S193" s="3"/>
      <c r="T193" s="71">
        <f>+V191/2+Q191/2</f>
        <v>72.5</v>
      </c>
      <c r="U193" s="71"/>
      <c r="V193" s="3" t="s">
        <v>0</v>
      </c>
      <c r="W193" s="3"/>
      <c r="X193" s="3"/>
      <c r="Y193" s="71">
        <f>+V191/2</f>
        <v>60</v>
      </c>
      <c r="Z193" s="71"/>
      <c r="AA193" s="3" t="s">
        <v>0</v>
      </c>
      <c r="AB193" s="3"/>
      <c r="AC193" s="3"/>
      <c r="AD193" s="3"/>
      <c r="AE193" s="3"/>
      <c r="AF193" s="3"/>
      <c r="AG193" s="3"/>
      <c r="AH193" s="3"/>
      <c r="AX193" s="3"/>
      <c r="AY193" s="3"/>
      <c r="AZ193" s="3"/>
      <c r="BA193" s="3"/>
      <c r="BB193" s="3"/>
      <c r="BC193" s="5"/>
    </row>
    <row r="194" spans="1:96" x14ac:dyDescent="0.2">
      <c r="A194" s="2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X194" s="3"/>
      <c r="AY194" s="3"/>
      <c r="AZ194" s="3"/>
      <c r="BA194" s="3"/>
      <c r="BB194" s="3"/>
      <c r="BC194" s="5"/>
    </row>
    <row r="195" spans="1:96" x14ac:dyDescent="0.2">
      <c r="A195" s="23"/>
      <c r="B195" s="3"/>
      <c r="C195" s="3"/>
      <c r="D195" s="3"/>
      <c r="E195" s="3"/>
      <c r="F195" s="3"/>
      <c r="G195" s="3"/>
      <c r="H195" s="3"/>
      <c r="I195" s="3"/>
      <c r="J195" s="3"/>
      <c r="K195" s="72">
        <f>+K191+Q191/2</f>
        <v>132.5</v>
      </c>
      <c r="L195" s="72"/>
      <c r="M195" s="72"/>
      <c r="N195" s="3" t="s">
        <v>0</v>
      </c>
      <c r="O195" s="3"/>
      <c r="P195" s="3"/>
      <c r="Q195" s="3"/>
      <c r="R195" s="3"/>
      <c r="S195" s="3"/>
      <c r="T195" s="3"/>
      <c r="U195" s="71">
        <f>+K195</f>
        <v>132.5</v>
      </c>
      <c r="V195" s="71"/>
      <c r="W195" s="71"/>
      <c r="X195" s="3" t="s">
        <v>0</v>
      </c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X195" s="3"/>
      <c r="AY195" s="3"/>
      <c r="AZ195" s="3"/>
      <c r="BA195" s="3"/>
      <c r="BB195" s="3"/>
      <c r="BC195" s="5"/>
    </row>
    <row r="196" spans="1:96" x14ac:dyDescent="0.2">
      <c r="A196" s="2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 t="s">
        <v>21</v>
      </c>
      <c r="AO196" s="26"/>
      <c r="AP196" s="26"/>
      <c r="AQ196" s="25"/>
      <c r="AX196" s="3"/>
      <c r="AY196" s="3"/>
      <c r="AZ196" s="3"/>
      <c r="BA196" s="3"/>
      <c r="BB196" s="3"/>
      <c r="BC196" s="5"/>
    </row>
    <row r="197" spans="1:96" x14ac:dyDescent="0.2">
      <c r="A197" s="2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71">
        <f>+K191+Q191+V191</f>
        <v>265</v>
      </c>
      <c r="R197" s="71"/>
      <c r="S197" s="3" t="s">
        <v>0</v>
      </c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X197" s="3"/>
      <c r="AY197" s="3"/>
      <c r="AZ197" s="3"/>
      <c r="BA197" s="3"/>
      <c r="BB197" s="3"/>
      <c r="BC197" s="5"/>
    </row>
    <row r="198" spans="1:96" ht="12" thickBot="1" x14ac:dyDescent="0.25">
      <c r="A198" s="23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5"/>
    </row>
    <row r="199" spans="1:96" ht="12" thickBot="1" x14ac:dyDescent="0.25"/>
    <row r="200" spans="1:96" ht="48.75" customHeight="1" x14ac:dyDescent="0.2">
      <c r="A200" s="18"/>
      <c r="B200" s="89" t="s">
        <v>34</v>
      </c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6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</row>
    <row r="201" spans="1:96" x14ac:dyDescent="0.2">
      <c r="A201" s="5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16" t="s">
        <v>5</v>
      </c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18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</row>
    <row r="202" spans="1:96" x14ac:dyDescent="0.2">
      <c r="A202" s="5"/>
      <c r="B202" s="2"/>
      <c r="C202" s="3"/>
      <c r="D202" s="3"/>
      <c r="E202" s="3"/>
      <c r="F202" s="3"/>
      <c r="G202" s="3"/>
      <c r="H202" s="3"/>
      <c r="I202" s="3"/>
      <c r="J202" s="3"/>
      <c r="K202" s="71">
        <f>+K240</f>
        <v>132.5</v>
      </c>
      <c r="L202" s="71"/>
      <c r="M202" s="71"/>
      <c r="N202" s="3" t="s">
        <v>0</v>
      </c>
      <c r="O202" s="3"/>
      <c r="P202" s="3"/>
      <c r="Q202" s="3"/>
      <c r="R202" s="3"/>
      <c r="S202" s="3"/>
      <c r="T202" s="3"/>
      <c r="U202" s="71">
        <f>+K202</f>
        <v>132.5</v>
      </c>
      <c r="V202" s="71"/>
      <c r="W202" s="71"/>
      <c r="X202" s="3" t="s">
        <v>0</v>
      </c>
      <c r="Y202" s="3"/>
      <c r="Z202" s="16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5"/>
      <c r="CR202" s="3"/>
    </row>
    <row r="203" spans="1:96" x14ac:dyDescent="0.2">
      <c r="A203" s="5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5"/>
      <c r="CR203" s="3"/>
    </row>
    <row r="204" spans="1:96" x14ac:dyDescent="0.2">
      <c r="A204" s="5"/>
      <c r="B204" s="2"/>
      <c r="C204" s="3"/>
      <c r="D204" s="3"/>
      <c r="E204" s="3"/>
      <c r="F204" s="3"/>
      <c r="G204" s="3"/>
      <c r="H204" s="71">
        <f>+K202-K204-O204</f>
        <v>17.474943224125596</v>
      </c>
      <c r="I204" s="71"/>
      <c r="J204" s="3" t="s">
        <v>0</v>
      </c>
      <c r="K204" s="71">
        <f>(N238*SIN((2*AO204*360/(2*PI()*N238))*PI()/180))*((AC212-(N238*COS((2*AO204*360/(2*PI()*N238))*PI()/180)))+((N238*COS((2*AO204*360/(2*PI()*N238))*PI()/180))-M217+S217+S219))/((N238*COS((2*AO204*360/(2*PI()*N238))*PI()/180))-M217+S217+S219)-O204</f>
        <v>62.373024991668373</v>
      </c>
      <c r="L204" s="71"/>
      <c r="M204" s="3" t="s">
        <v>0</v>
      </c>
      <c r="N204" s="3"/>
      <c r="O204" s="71">
        <f>((N238*SIN((AO204*360/(2*PI()*N238))*PI()/180))-Q214)/((N238*COS((AO204*360/(2*PI()*N238))*PI()/180))-M217)*(I238+N238-(N238*COS((AO204*360/(2*PI()*N238))*PI()/180)))+(N238*SIN((AO204*360/(2*PI()*N238))*PI()/180))</f>
        <v>52.652031784206031</v>
      </c>
      <c r="P204" s="71"/>
      <c r="Q204" s="3" t="s">
        <v>0</v>
      </c>
      <c r="R204" s="3"/>
      <c r="S204" s="71">
        <f>+O204</f>
        <v>52.652031784206031</v>
      </c>
      <c r="T204" s="71"/>
      <c r="U204" s="3" t="s">
        <v>0</v>
      </c>
      <c r="V204" s="71">
        <f>+K204</f>
        <v>62.373024991668373</v>
      </c>
      <c r="W204" s="71"/>
      <c r="X204" s="3" t="s">
        <v>0</v>
      </c>
      <c r="Z204" s="71">
        <f>+H204</f>
        <v>17.474943224125596</v>
      </c>
      <c r="AA204" s="71"/>
      <c r="AB204" s="3" t="s">
        <v>0</v>
      </c>
      <c r="AC204" s="3"/>
      <c r="AD204" s="3"/>
      <c r="AE204" s="3"/>
      <c r="AF204" s="3"/>
      <c r="AG204" s="3"/>
      <c r="AH204" s="3" t="s">
        <v>1</v>
      </c>
      <c r="AI204" s="3"/>
      <c r="AJ204" s="3"/>
      <c r="AK204" s="3"/>
      <c r="AL204" s="3"/>
      <c r="AM204" s="3"/>
      <c r="AN204" s="3"/>
      <c r="AO204" s="78">
        <v>30</v>
      </c>
      <c r="AP204" s="78"/>
      <c r="AQ204" s="3" t="s">
        <v>0</v>
      </c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5"/>
      <c r="BG204" s="27" t="s">
        <v>22</v>
      </c>
      <c r="CR204" s="3"/>
    </row>
    <row r="205" spans="1:96" x14ac:dyDescent="0.2">
      <c r="A205" s="5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 t="s">
        <v>3</v>
      </c>
      <c r="AI205" s="3"/>
      <c r="AJ205" s="3"/>
      <c r="AK205" s="3"/>
      <c r="AL205" s="3"/>
      <c r="AM205" s="3"/>
      <c r="AN205" s="9">
        <v>22</v>
      </c>
      <c r="AO205" s="3" t="s">
        <v>4</v>
      </c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5"/>
      <c r="BG205" s="3" t="s">
        <v>18</v>
      </c>
      <c r="BH205" s="3"/>
      <c r="BI205" s="3"/>
      <c r="BJ205" s="3"/>
      <c r="BK205" s="3"/>
      <c r="BL205" s="78">
        <v>3.7</v>
      </c>
      <c r="BM205" s="78"/>
      <c r="BN205" s="3" t="s">
        <v>10</v>
      </c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CR205" s="3"/>
    </row>
    <row r="206" spans="1:96" x14ac:dyDescent="0.2">
      <c r="A206" s="5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82">
        <f>O204*(AC224+M217-S217)/(AC212-M217+S217)</f>
        <v>71.258257574668676</v>
      </c>
      <c r="AI206" s="82"/>
      <c r="AJ206" s="82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5"/>
      <c r="BG206" s="21" t="s">
        <v>6</v>
      </c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CR206" s="3"/>
    </row>
    <row r="207" spans="1:96" x14ac:dyDescent="0.2">
      <c r="A207" s="5"/>
      <c r="B207" s="2"/>
      <c r="C207" s="3"/>
      <c r="D207" s="3"/>
      <c r="E207" s="3"/>
      <c r="F207" s="3"/>
      <c r="G207" s="3"/>
      <c r="H207" s="28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30"/>
      <c r="AB207" s="3"/>
      <c r="AC207" s="3"/>
      <c r="AD207" s="3"/>
      <c r="AE207" s="3"/>
      <c r="AF207" s="3"/>
      <c r="AG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5"/>
      <c r="BG207" s="3" t="s">
        <v>7</v>
      </c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CR207" s="3"/>
    </row>
    <row r="208" spans="1:96" x14ac:dyDescent="0.2">
      <c r="A208" s="5"/>
      <c r="B208" s="2"/>
      <c r="C208" s="3"/>
      <c r="D208" s="71">
        <f>+C219-D212-D217-D221-D224-D227-D229-D231-D233</f>
        <v>54.835111888897707</v>
      </c>
      <c r="E208" s="71"/>
      <c r="F208" s="3" t="s">
        <v>0</v>
      </c>
      <c r="G208" s="3"/>
      <c r="H208" s="31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3"/>
      <c r="AB208" s="3"/>
      <c r="AC208" s="3"/>
      <c r="AD208" s="3"/>
      <c r="AE208" s="3"/>
      <c r="AF208" s="3"/>
      <c r="AG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5"/>
      <c r="BG208" s="3" t="s">
        <v>8</v>
      </c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</row>
    <row r="209" spans="1:101" x14ac:dyDescent="0.2">
      <c r="A209" s="5"/>
      <c r="B209" s="2"/>
      <c r="C209" s="3"/>
      <c r="D209" s="3"/>
      <c r="E209" s="3"/>
      <c r="F209" s="3"/>
      <c r="G209" s="3"/>
      <c r="H209" s="31"/>
      <c r="I209" s="32"/>
      <c r="J209" s="32"/>
      <c r="K209" s="32"/>
      <c r="L209" s="32"/>
      <c r="M209" s="32"/>
      <c r="N209" s="32"/>
      <c r="O209" s="32"/>
      <c r="P209" s="32">
        <v>11</v>
      </c>
      <c r="Q209" s="32"/>
      <c r="R209" s="32"/>
      <c r="S209" s="32">
        <v>12</v>
      </c>
      <c r="T209" s="32"/>
      <c r="U209" s="32"/>
      <c r="V209" s="32">
        <v>13</v>
      </c>
      <c r="W209" s="32"/>
      <c r="X209" s="32"/>
      <c r="Y209" s="32"/>
      <c r="Z209" s="32"/>
      <c r="AA209" s="33"/>
      <c r="AB209" s="3"/>
      <c r="AC209" s="3"/>
      <c r="AD209" s="3"/>
      <c r="AE209" s="3"/>
      <c r="AF209" s="3"/>
      <c r="AG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5"/>
      <c r="BG209" s="3" t="s">
        <v>9</v>
      </c>
      <c r="BH209" s="3"/>
      <c r="BI209" s="71">
        <f>0.63-2*BI210</f>
        <v>0.29363636363636364</v>
      </c>
      <c r="BJ209" s="71"/>
      <c r="BK209" s="71"/>
      <c r="BL209" s="3" t="s">
        <v>10</v>
      </c>
      <c r="BM209" s="3" t="s">
        <v>11</v>
      </c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</row>
    <row r="210" spans="1:101" x14ac:dyDescent="0.2">
      <c r="A210" s="5"/>
      <c r="B210" s="2"/>
      <c r="C210" s="3"/>
      <c r="D210" s="3"/>
      <c r="E210" s="3"/>
      <c r="F210" s="3"/>
      <c r="G210" s="3"/>
      <c r="H210" s="31"/>
      <c r="I210" s="32"/>
      <c r="J210" s="32"/>
      <c r="K210" s="32"/>
      <c r="L210" s="32"/>
      <c r="M210" s="32">
        <v>10</v>
      </c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3"/>
      <c r="AB210" s="3"/>
      <c r="AC210" s="79" t="s">
        <v>0</v>
      </c>
      <c r="AD210" s="3"/>
      <c r="AE210" s="79" t="s">
        <v>0</v>
      </c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5"/>
      <c r="BG210" s="3" t="s">
        <v>12</v>
      </c>
      <c r="BH210" s="3"/>
      <c r="BI210" s="71">
        <f>BL205/BL211</f>
        <v>0.16818181818181818</v>
      </c>
      <c r="BJ210" s="71"/>
      <c r="BK210" s="71"/>
      <c r="BL210" s="3" t="s">
        <v>10</v>
      </c>
      <c r="BM210" s="3" t="s">
        <v>13</v>
      </c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</row>
    <row r="211" spans="1:101" x14ac:dyDescent="0.2">
      <c r="A211" s="5"/>
      <c r="B211" s="2"/>
      <c r="C211" s="3"/>
      <c r="D211" s="3"/>
      <c r="E211" s="3"/>
      <c r="F211" s="3"/>
      <c r="G211" s="3"/>
      <c r="H211" s="31"/>
      <c r="I211" s="32"/>
      <c r="J211" s="32"/>
      <c r="K211" s="32">
        <v>9</v>
      </c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>
        <v>14</v>
      </c>
      <c r="Y211" s="32"/>
      <c r="Z211" s="32"/>
      <c r="AA211" s="33"/>
      <c r="AB211" s="3"/>
      <c r="AC211" s="79"/>
      <c r="AD211" s="3"/>
      <c r="AE211" s="79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5"/>
      <c r="BG211" s="3" t="s">
        <v>14</v>
      </c>
      <c r="BH211" s="3"/>
      <c r="BI211" s="3"/>
      <c r="BJ211" s="3"/>
      <c r="BK211" s="3"/>
      <c r="BL211" s="72">
        <v>22</v>
      </c>
      <c r="BM211" s="72"/>
      <c r="BN211" s="3" t="s">
        <v>4</v>
      </c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</row>
    <row r="212" spans="1:101" x14ac:dyDescent="0.2">
      <c r="A212" s="5"/>
      <c r="B212" s="2"/>
      <c r="C212" s="3"/>
      <c r="D212" s="71">
        <f>((S222+S223+S224+S226+S227+S229+S231+S233)*(K240+3*AH206)/(3*AH206))-((S223+S224+S226+S227+S229+S231+S233)*(K240+4*AH206)/(4*AH206))</f>
        <v>48.540655221952562</v>
      </c>
      <c r="E212" s="71"/>
      <c r="F212" s="3" t="s">
        <v>0</v>
      </c>
      <c r="G212" s="3"/>
      <c r="H212" s="31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3"/>
      <c r="AB212" s="3"/>
      <c r="AC212" s="79">
        <f>+K236+Q236/2</f>
        <v>132.5</v>
      </c>
      <c r="AD212" s="3"/>
      <c r="AE212" s="79">
        <f>+C219-AE224</f>
        <v>120</v>
      </c>
      <c r="AF212" s="3"/>
      <c r="AG212" s="3"/>
      <c r="AH212" s="3"/>
      <c r="AI212" s="3"/>
      <c r="AJ212" s="3"/>
      <c r="AK212" s="3"/>
      <c r="AL212" s="3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23"/>
      <c r="BG212" s="3">
        <v>2</v>
      </c>
      <c r="BH212" s="42" t="s">
        <v>15</v>
      </c>
      <c r="BI212" s="71">
        <f>+BI210</f>
        <v>0.16818181818181818</v>
      </c>
      <c r="BJ212" s="71"/>
      <c r="BK212" s="71"/>
      <c r="BL212" s="42" t="s">
        <v>16</v>
      </c>
      <c r="BM212" s="71">
        <f>+BI209</f>
        <v>0.29363636363636364</v>
      </c>
      <c r="BN212" s="71"/>
      <c r="BO212" s="71"/>
      <c r="BP212" s="42" t="s">
        <v>17</v>
      </c>
      <c r="BQ212" s="71">
        <f>+BG212*BI212+BM212</f>
        <v>0.63</v>
      </c>
      <c r="BR212" s="71"/>
      <c r="BS212" s="71"/>
      <c r="BT212" s="3" t="s">
        <v>10</v>
      </c>
      <c r="BU212" s="3"/>
      <c r="BV212" s="16" t="str">
        <f>IF(BQ212=0.63,"uygun.","uygun değil.")</f>
        <v>uygun.</v>
      </c>
      <c r="BW212" s="3"/>
      <c r="BX212" s="3"/>
      <c r="BY212" s="3"/>
    </row>
    <row r="213" spans="1:101" x14ac:dyDescent="0.2">
      <c r="A213" s="5"/>
      <c r="B213" s="2"/>
      <c r="C213" s="3"/>
      <c r="D213" s="3"/>
      <c r="E213" s="3"/>
      <c r="F213" s="3"/>
      <c r="G213" s="3"/>
      <c r="H213" s="31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3"/>
      <c r="AB213" s="3"/>
      <c r="AC213" s="79"/>
      <c r="AD213" s="3"/>
      <c r="AE213" s="79"/>
      <c r="AF213" s="3"/>
      <c r="AG213" s="3"/>
      <c r="AH213" s="3"/>
      <c r="AI213" s="3"/>
      <c r="AJ213" s="3"/>
      <c r="AK213" s="3"/>
      <c r="AL213" s="3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23"/>
    </row>
    <row r="214" spans="1:101" x14ac:dyDescent="0.2">
      <c r="A214" s="5"/>
      <c r="B214" s="2"/>
      <c r="C214" s="3"/>
      <c r="D214" s="3"/>
      <c r="E214" s="3"/>
      <c r="F214" s="3"/>
      <c r="G214" s="3"/>
      <c r="H214" s="31"/>
      <c r="I214" s="32"/>
      <c r="J214" s="32"/>
      <c r="K214" s="32"/>
      <c r="L214" s="32"/>
      <c r="M214" s="32"/>
      <c r="N214" s="32"/>
      <c r="O214" s="32"/>
      <c r="P214" s="32"/>
      <c r="Q214" s="20">
        <v>10</v>
      </c>
      <c r="R214" s="32" t="s">
        <v>0</v>
      </c>
      <c r="S214" s="32"/>
      <c r="T214" s="32"/>
      <c r="U214" s="32"/>
      <c r="V214" s="32"/>
      <c r="W214" s="32"/>
      <c r="X214" s="32"/>
      <c r="Y214" s="32"/>
      <c r="Z214" s="32"/>
      <c r="AA214" s="33"/>
      <c r="AB214" s="3"/>
      <c r="AC214" s="79"/>
      <c r="AD214" s="3"/>
      <c r="AE214" s="79"/>
      <c r="AF214" s="3"/>
      <c r="AG214" s="3"/>
      <c r="AH214" s="3"/>
      <c r="AI214" s="3"/>
      <c r="AJ214" s="3"/>
      <c r="AK214" s="3"/>
      <c r="AL214" s="3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23"/>
    </row>
    <row r="215" spans="1:101" x14ac:dyDescent="0.2">
      <c r="A215" s="5"/>
      <c r="B215" s="2"/>
      <c r="C215" s="3"/>
      <c r="D215" s="3"/>
      <c r="E215" s="3"/>
      <c r="F215" s="3"/>
      <c r="G215" s="3"/>
      <c r="H215" s="31"/>
      <c r="I215" s="32"/>
      <c r="J215" s="32">
        <v>8</v>
      </c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>
        <v>15</v>
      </c>
      <c r="Z215" s="32"/>
      <c r="AA215" s="3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23"/>
      <c r="BG215" s="1" t="s">
        <v>19</v>
      </c>
    </row>
    <row r="216" spans="1:101" x14ac:dyDescent="0.2">
      <c r="A216" s="5"/>
      <c r="B216" s="2"/>
      <c r="C216" s="3"/>
      <c r="D216" s="3"/>
      <c r="E216" s="3"/>
      <c r="F216" s="3"/>
      <c r="G216" s="3"/>
      <c r="H216" s="31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9"/>
      <c r="AU216" s="9"/>
      <c r="AV216" s="9"/>
      <c r="AW216" s="9"/>
      <c r="AX216" s="9"/>
      <c r="AY216" s="9"/>
      <c r="AZ216" s="9"/>
      <c r="BA216" s="9"/>
      <c r="BB216" s="9"/>
      <c r="BC216" s="23"/>
      <c r="BG216" s="4" t="s">
        <v>2</v>
      </c>
    </row>
    <row r="217" spans="1:101" x14ac:dyDescent="0.2">
      <c r="A217" s="5"/>
      <c r="B217" s="2"/>
      <c r="C217" s="79" t="s">
        <v>0</v>
      </c>
      <c r="D217" s="71">
        <f>7*AO204*(I238+N238+AH206*4)/(N238+AH206*4)-D229-D227-D224-D221-D231-D233</f>
        <v>40.054420294883734</v>
      </c>
      <c r="E217" s="71"/>
      <c r="F217" s="3" t="s">
        <v>0</v>
      </c>
      <c r="G217" s="3"/>
      <c r="H217" s="31"/>
      <c r="I217" s="32"/>
      <c r="J217" s="32"/>
      <c r="K217" s="32"/>
      <c r="L217" s="32"/>
      <c r="M217" s="74">
        <f>+Q236/2</f>
        <v>12.5</v>
      </c>
      <c r="N217" s="74"/>
      <c r="O217" s="32"/>
      <c r="P217" s="32"/>
      <c r="Q217" s="6"/>
      <c r="R217" s="7"/>
      <c r="S217" s="80">
        <f>((N238*COS((AO204*360/(2*PI()*N238))*PI()/180))-M217)*Q214/((N238*SIN((AO204*360/(2*PI()*N238))*PI()/180))-Q214)</f>
        <v>28.134650327358091</v>
      </c>
      <c r="T217" s="81"/>
      <c r="U217" s="74" t="s">
        <v>0</v>
      </c>
      <c r="V217" s="32"/>
      <c r="W217" s="32"/>
      <c r="X217" s="32"/>
      <c r="Y217" s="32"/>
      <c r="Z217" s="32"/>
      <c r="AA217" s="3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9"/>
      <c r="AU217" s="9"/>
      <c r="AV217" s="9"/>
      <c r="AW217" s="9"/>
      <c r="AX217" s="9"/>
      <c r="AY217" s="9"/>
      <c r="AZ217" s="9"/>
      <c r="BA217" s="9"/>
      <c r="BB217" s="9"/>
      <c r="BC217" s="23"/>
    </row>
    <row r="218" spans="1:101" x14ac:dyDescent="0.2">
      <c r="A218" s="5"/>
      <c r="B218" s="2"/>
      <c r="C218" s="79"/>
      <c r="D218" s="3"/>
      <c r="E218" s="3"/>
      <c r="F218" s="3"/>
      <c r="G218" s="3"/>
      <c r="H218" s="31"/>
      <c r="I218" s="32"/>
      <c r="J218" s="32"/>
      <c r="K218" s="32"/>
      <c r="L218" s="32"/>
      <c r="M218" s="32"/>
      <c r="N218" s="32"/>
      <c r="O218" s="32"/>
      <c r="P218" s="32"/>
      <c r="Q218" s="8"/>
      <c r="R218" s="10"/>
      <c r="S218" s="80"/>
      <c r="T218" s="81"/>
      <c r="U218" s="74"/>
      <c r="V218" s="32"/>
      <c r="W218" s="32"/>
      <c r="X218" s="32"/>
      <c r="Y218" s="32"/>
      <c r="Z218" s="32"/>
      <c r="AA218" s="3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9"/>
      <c r="AU218" s="9"/>
      <c r="AV218" s="9"/>
      <c r="AW218" s="9"/>
      <c r="AX218" s="9"/>
      <c r="AY218" s="9"/>
      <c r="AZ218" s="9"/>
      <c r="BA218" s="9"/>
      <c r="BB218" s="9"/>
      <c r="BC218" s="23"/>
      <c r="BG218" s="1" t="s">
        <v>20</v>
      </c>
    </row>
    <row r="219" spans="1:101" x14ac:dyDescent="0.2">
      <c r="A219" s="5"/>
      <c r="B219" s="2"/>
      <c r="C219" s="79">
        <f>+AC212+AC224</f>
        <v>348.61726630737002</v>
      </c>
      <c r="D219" s="3"/>
      <c r="E219" s="3"/>
      <c r="F219" s="3"/>
      <c r="G219" s="3"/>
      <c r="H219" s="31"/>
      <c r="I219" s="32"/>
      <c r="J219" s="32">
        <v>7</v>
      </c>
      <c r="K219" s="32"/>
      <c r="L219" s="32"/>
      <c r="M219" s="32"/>
      <c r="N219" s="32"/>
      <c r="O219" s="32"/>
      <c r="P219" s="32"/>
      <c r="Q219" s="8"/>
      <c r="R219" s="10"/>
      <c r="S219" s="73">
        <f>(N238*SIN((2*AO204*360/(2*PI()*N238))*PI()/180))*((N238*COS((2*AO204*360/(2*PI()*N238))*PI()/180))+AC224)/((N238*SIN((2*AO204*360/(2*PI()*N238))*PI()/180))+2*AH206)-(N238*COS((2*AO204*360/(2*PI()*N238))*PI()/180))+M217-S217</f>
        <v>7.5672837343787016</v>
      </c>
      <c r="T219" s="74"/>
      <c r="U219" s="74" t="s">
        <v>0</v>
      </c>
      <c r="V219" s="32"/>
      <c r="W219" s="32"/>
      <c r="X219" s="32"/>
      <c r="Y219" s="32">
        <v>16</v>
      </c>
      <c r="Z219" s="32"/>
      <c r="AA219" s="3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9"/>
      <c r="AU219" s="9"/>
      <c r="AV219" s="9"/>
      <c r="AW219" s="9"/>
      <c r="AX219" s="9"/>
      <c r="AY219" s="9"/>
      <c r="AZ219" s="9"/>
      <c r="BA219" s="9"/>
      <c r="BB219" s="9"/>
      <c r="BC219" s="23"/>
    </row>
    <row r="220" spans="1:101" x14ac:dyDescent="0.2">
      <c r="A220" s="5"/>
      <c r="B220" s="2"/>
      <c r="C220" s="79"/>
      <c r="D220" s="3"/>
      <c r="E220" s="3"/>
      <c r="F220" s="3"/>
      <c r="G220" s="3"/>
      <c r="H220" s="31"/>
      <c r="I220" s="32"/>
      <c r="J220" s="32"/>
      <c r="K220" s="32"/>
      <c r="L220" s="32"/>
      <c r="M220" s="32"/>
      <c r="N220" s="32"/>
      <c r="O220" s="32"/>
      <c r="P220" s="32"/>
      <c r="Q220" s="8"/>
      <c r="R220" s="10"/>
      <c r="S220" s="73"/>
      <c r="T220" s="74"/>
      <c r="U220" s="74"/>
      <c r="V220" s="32"/>
      <c r="W220" s="32"/>
      <c r="X220" s="32"/>
      <c r="Y220" s="32"/>
      <c r="Z220" s="32"/>
      <c r="AA220" s="33"/>
      <c r="AB220" s="3"/>
      <c r="AC220" s="3"/>
      <c r="AD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9"/>
      <c r="AU220" s="9"/>
      <c r="AV220" s="9"/>
      <c r="AW220" s="9"/>
      <c r="AX220" s="9"/>
      <c r="AY220" s="9"/>
      <c r="AZ220" s="9"/>
      <c r="BA220" s="9"/>
      <c r="BB220" s="9"/>
      <c r="BC220" s="23"/>
    </row>
    <row r="221" spans="1:101" x14ac:dyDescent="0.2">
      <c r="A221" s="5"/>
      <c r="B221" s="2"/>
      <c r="C221" s="79"/>
      <c r="D221" s="71">
        <f>6*AO204*(I238+N238+AH206*5)/(N238+AH206*5)-D229-D227-D224-D231-D233</f>
        <v>37.188862361039817</v>
      </c>
      <c r="E221" s="71"/>
      <c r="F221" s="3" t="s">
        <v>0</v>
      </c>
      <c r="G221" s="3"/>
      <c r="H221" s="31"/>
      <c r="I221" s="32"/>
      <c r="J221" s="32"/>
      <c r="K221" s="32"/>
      <c r="L221" s="32"/>
      <c r="M221" s="32"/>
      <c r="N221" s="32"/>
      <c r="O221" s="32"/>
      <c r="P221" s="32"/>
      <c r="Q221" s="8"/>
      <c r="R221" s="10"/>
      <c r="S221" s="73">
        <f>(N238*SIN((3*AO204*360/(2*PI()*N238))*PI()/180))*((N238*COS((3*AO204*360/(2*PI()*N238))*PI()/180))+AC224)/((N238*SIN((3*AO204*360/(2*PI()*N238))*PI()/180))+3*AH206)-(N238*COS((3*AO204*360/(2*PI()*N238))*PI()/180))-S219+M217-S217</f>
        <v>11.54718695127691</v>
      </c>
      <c r="T221" s="74"/>
      <c r="U221" s="32" t="s">
        <v>0</v>
      </c>
      <c r="V221" s="32"/>
      <c r="W221" s="32"/>
      <c r="X221" s="32"/>
      <c r="Y221" s="32"/>
      <c r="Z221" s="32"/>
      <c r="AA221" s="33"/>
      <c r="AB221" s="3"/>
      <c r="AD221" s="3"/>
      <c r="AF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9"/>
      <c r="AU221" s="9"/>
      <c r="AV221" s="9"/>
      <c r="AW221" s="9"/>
      <c r="AX221" s="9"/>
      <c r="AY221" s="9"/>
      <c r="AZ221" s="9"/>
      <c r="BA221" s="9"/>
      <c r="BB221" s="9"/>
      <c r="BC221" s="23"/>
    </row>
    <row r="222" spans="1:101" x14ac:dyDescent="0.2">
      <c r="A222" s="5"/>
      <c r="B222" s="2"/>
      <c r="C222" s="3"/>
      <c r="D222" s="3"/>
      <c r="E222" s="3"/>
      <c r="F222" s="3"/>
      <c r="G222" s="3"/>
      <c r="H222" s="31"/>
      <c r="I222" s="32"/>
      <c r="J222" s="32">
        <v>6</v>
      </c>
      <c r="K222" s="32"/>
      <c r="L222" s="32"/>
      <c r="M222" s="32"/>
      <c r="N222" s="32"/>
      <c r="O222" s="32"/>
      <c r="P222" s="32"/>
      <c r="Q222" s="8"/>
      <c r="R222" s="10"/>
      <c r="S222" s="73">
        <f>+AC224+M217-S217-S219-S221-S223-S224-S226-S227-S229-S231-S233</f>
        <v>13.951623490151015</v>
      </c>
      <c r="T222" s="74"/>
      <c r="U222" s="32" t="s">
        <v>0</v>
      </c>
      <c r="V222" s="32"/>
      <c r="W222" s="32"/>
      <c r="X222" s="32"/>
      <c r="Y222" s="32">
        <v>17</v>
      </c>
      <c r="Z222" s="32"/>
      <c r="AA222" s="33"/>
      <c r="AB222" s="3"/>
      <c r="AC222" s="79" t="s">
        <v>0</v>
      </c>
      <c r="AD222" s="3"/>
      <c r="AE222" s="79" t="s">
        <v>0</v>
      </c>
      <c r="AF222" s="3"/>
      <c r="AH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9"/>
      <c r="AU222" s="9"/>
      <c r="AV222" s="9"/>
      <c r="AW222" s="9"/>
      <c r="AX222" s="9"/>
      <c r="AY222" s="9"/>
      <c r="AZ222" s="9"/>
      <c r="BA222" s="9"/>
      <c r="BB222" s="9"/>
      <c r="BC222" s="23"/>
    </row>
    <row r="223" spans="1:101" x14ac:dyDescent="0.2">
      <c r="A223" s="5"/>
      <c r="B223" s="2"/>
      <c r="C223" s="3"/>
      <c r="D223" s="3"/>
      <c r="E223" s="3"/>
      <c r="F223" s="3"/>
      <c r="G223" s="3"/>
      <c r="H223" s="31"/>
      <c r="I223" s="32"/>
      <c r="J223" s="32"/>
      <c r="K223" s="32"/>
      <c r="L223" s="32"/>
      <c r="M223" s="32"/>
      <c r="N223" s="32"/>
      <c r="O223" s="32"/>
      <c r="P223" s="32"/>
      <c r="Q223" s="8"/>
      <c r="R223" s="10"/>
      <c r="S223" s="73">
        <f>7*AO204-((D229+D227+D224+D221+D217+D231+D233)-7*AO204)*N238/I238-S229-S227-S226-S224-S231-S233</f>
        <v>17.850908810348848</v>
      </c>
      <c r="T223" s="74"/>
      <c r="U223" s="32" t="s">
        <v>0</v>
      </c>
      <c r="V223" s="32"/>
      <c r="W223" s="32"/>
      <c r="X223" s="32"/>
      <c r="Y223" s="32"/>
      <c r="Z223" s="32"/>
      <c r="AA223" s="33"/>
      <c r="AB223" s="3"/>
      <c r="AC223" s="79"/>
      <c r="AD223" s="3"/>
      <c r="AE223" s="79"/>
      <c r="AF223" s="3"/>
      <c r="AH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9"/>
      <c r="AU223" s="9"/>
      <c r="AV223" s="9"/>
      <c r="AW223" s="9"/>
      <c r="AX223" s="9"/>
      <c r="AY223" s="9"/>
      <c r="AZ223" s="9"/>
      <c r="BA223" s="9"/>
      <c r="BB223" s="9"/>
      <c r="BC223" s="23"/>
    </row>
    <row r="224" spans="1:101" x14ac:dyDescent="0.2">
      <c r="A224" s="5"/>
      <c r="B224" s="2"/>
      <c r="C224" s="3"/>
      <c r="D224" s="71">
        <f>5*AO204*(I238+N238+AH206*6)/(N238+AH206*6)-D229-D227-D231-D233</f>
        <v>35.395553034328323</v>
      </c>
      <c r="E224" s="71"/>
      <c r="F224" s="3" t="s">
        <v>0</v>
      </c>
      <c r="G224" s="3"/>
      <c r="H224" s="31"/>
      <c r="I224" s="32"/>
      <c r="J224" s="32">
        <v>5</v>
      </c>
      <c r="K224" s="32"/>
      <c r="L224" s="32"/>
      <c r="M224" s="32"/>
      <c r="N224" s="32"/>
      <c r="O224" s="32"/>
      <c r="P224" s="32"/>
      <c r="Q224" s="8"/>
      <c r="R224" s="10"/>
      <c r="S224" s="73">
        <f>6*AO204-((D229+D227+D224+D221+D231+D233)-6*AO204)*N238/I238-S229-S227-S226-S231-S233</f>
        <v>21.313457980410227</v>
      </c>
      <c r="T224" s="74"/>
      <c r="U224" s="74" t="s">
        <v>0</v>
      </c>
      <c r="V224" s="32"/>
      <c r="W224" s="32"/>
      <c r="X224" s="32"/>
      <c r="Y224" s="32">
        <v>18</v>
      </c>
      <c r="Z224" s="32"/>
      <c r="AA224" s="33"/>
      <c r="AB224" s="3"/>
      <c r="AC224" s="79">
        <f>(11*AO204)-(2*PI()*N238*90/360)</f>
        <v>216.11726630737002</v>
      </c>
      <c r="AD224" s="3"/>
      <c r="AE224" s="79">
        <f>+AC224+M217</f>
        <v>228.61726630737002</v>
      </c>
      <c r="AF224" s="3"/>
      <c r="AH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9"/>
      <c r="AU224" s="9"/>
      <c r="AV224" s="9"/>
      <c r="AW224" s="9"/>
      <c r="AX224" s="9"/>
      <c r="AY224" s="9"/>
      <c r="AZ224" s="9"/>
      <c r="BA224" s="9"/>
      <c r="BB224" s="9"/>
      <c r="BC224" s="23"/>
    </row>
    <row r="225" spans="1:55" x14ac:dyDescent="0.2">
      <c r="A225" s="5"/>
      <c r="B225" s="2"/>
      <c r="C225" s="3"/>
      <c r="D225" s="3"/>
      <c r="E225" s="3"/>
      <c r="F225" s="3"/>
      <c r="G225" s="3"/>
      <c r="H225" s="31"/>
      <c r="I225" s="32"/>
      <c r="J225" s="32"/>
      <c r="K225" s="32"/>
      <c r="L225" s="32"/>
      <c r="M225" s="32"/>
      <c r="N225" s="32"/>
      <c r="O225" s="32"/>
      <c r="P225" s="32"/>
      <c r="Q225" s="8"/>
      <c r="R225" s="10"/>
      <c r="S225" s="73"/>
      <c r="T225" s="74"/>
      <c r="U225" s="74"/>
      <c r="V225" s="32"/>
      <c r="W225" s="32"/>
      <c r="X225" s="32"/>
      <c r="Y225" s="32"/>
      <c r="Z225" s="32"/>
      <c r="AA225" s="33"/>
      <c r="AB225" s="3"/>
      <c r="AC225" s="79"/>
      <c r="AD225" s="3"/>
      <c r="AE225" s="79"/>
      <c r="AF225" s="3"/>
      <c r="AH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9"/>
      <c r="AU225" s="9"/>
      <c r="AV225" s="9"/>
      <c r="AW225" s="9"/>
      <c r="AX225" s="9"/>
      <c r="AY225" s="9"/>
      <c r="AZ225" s="9"/>
      <c r="BA225" s="9"/>
      <c r="BB225" s="9"/>
      <c r="BC225" s="23"/>
    </row>
    <row r="226" spans="1:55" x14ac:dyDescent="0.2">
      <c r="A226" s="5"/>
      <c r="B226" s="2"/>
      <c r="C226" s="3"/>
      <c r="D226" s="3"/>
      <c r="E226" s="3"/>
      <c r="F226" s="3"/>
      <c r="G226" s="3"/>
      <c r="H226" s="31"/>
      <c r="I226" s="32"/>
      <c r="J226" s="32"/>
      <c r="K226" s="32"/>
      <c r="L226" s="32"/>
      <c r="M226" s="32"/>
      <c r="N226" s="32"/>
      <c r="O226" s="32"/>
      <c r="P226" s="32"/>
      <c r="Q226" s="8"/>
      <c r="R226" s="10"/>
      <c r="S226" s="73">
        <f>5*AO204-((D229+D227+D224+D231+D233)-5*AO204)*N238/I238-S229-S227-S231-S233</f>
        <v>23.480373416853247</v>
      </c>
      <c r="T226" s="74"/>
      <c r="U226" s="32" t="s">
        <v>0</v>
      </c>
      <c r="V226" s="32"/>
      <c r="W226" s="32"/>
      <c r="X226" s="32"/>
      <c r="Y226" s="32"/>
      <c r="Z226" s="32"/>
      <c r="AA226" s="33"/>
      <c r="AB226" s="3"/>
      <c r="AC226" s="79"/>
      <c r="AD226" s="3"/>
      <c r="AE226" s="79"/>
      <c r="AF226" s="3"/>
      <c r="AG226" s="3"/>
      <c r="AH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5"/>
    </row>
    <row r="227" spans="1:55" x14ac:dyDescent="0.2">
      <c r="A227" s="5"/>
      <c r="B227" s="2"/>
      <c r="C227" s="3"/>
      <c r="D227" s="71">
        <f>4*AO204*(I238+N238+AH206*7)/(N238+AH206*7)-D229-D231-D233</f>
        <v>34.198858308433422</v>
      </c>
      <c r="E227" s="71"/>
      <c r="F227" s="3" t="s">
        <v>0</v>
      </c>
      <c r="G227" s="3"/>
      <c r="H227" s="31"/>
      <c r="I227" s="32"/>
      <c r="J227" s="32">
        <v>4</v>
      </c>
      <c r="K227" s="32"/>
      <c r="L227" s="32"/>
      <c r="M227" s="32"/>
      <c r="N227" s="32"/>
      <c r="O227" s="32"/>
      <c r="P227" s="32"/>
      <c r="Q227" s="8"/>
      <c r="R227" s="10"/>
      <c r="S227" s="73">
        <f>4*AO204-((D229+D227+D231+D233)-4*AO204)*N238/I238-S229-S231-S233</f>
        <v>24.926379543976289</v>
      </c>
      <c r="T227" s="74"/>
      <c r="U227" s="74" t="s">
        <v>0</v>
      </c>
      <c r="V227" s="32"/>
      <c r="W227" s="32"/>
      <c r="X227" s="32"/>
      <c r="Y227" s="32">
        <v>19</v>
      </c>
      <c r="Z227" s="32"/>
      <c r="AA227" s="3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5"/>
    </row>
    <row r="228" spans="1:55" x14ac:dyDescent="0.2">
      <c r="A228" s="5"/>
      <c r="B228" s="2"/>
      <c r="C228" s="3"/>
      <c r="D228" s="3"/>
      <c r="E228" s="3"/>
      <c r="F228" s="3"/>
      <c r="G228" s="3"/>
      <c r="H228" s="31"/>
      <c r="I228" s="32"/>
      <c r="J228" s="32"/>
      <c r="K228" s="32"/>
      <c r="L228" s="32"/>
      <c r="M228" s="32"/>
      <c r="N228" s="32"/>
      <c r="O228" s="32"/>
      <c r="P228" s="32"/>
      <c r="Q228" s="8"/>
      <c r="R228" s="10"/>
      <c r="S228" s="73"/>
      <c r="T228" s="74"/>
      <c r="U228" s="74"/>
      <c r="V228" s="32"/>
      <c r="W228" s="32"/>
      <c r="X228" s="32"/>
      <c r="Y228" s="32"/>
      <c r="Z228" s="32"/>
      <c r="AA228" s="3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5"/>
    </row>
    <row r="229" spans="1:55" x14ac:dyDescent="0.2">
      <c r="A229" s="5"/>
      <c r="B229" s="2"/>
      <c r="C229" s="3"/>
      <c r="D229" s="71">
        <f>3*AO204*(I238+N238+AH206*8)/(N238+AH206*8)-D231-D233</f>
        <v>33.360547482520111</v>
      </c>
      <c r="E229" s="71"/>
      <c r="F229" s="3" t="s">
        <v>0</v>
      </c>
      <c r="G229" s="3"/>
      <c r="H229" s="31"/>
      <c r="I229" s="32"/>
      <c r="J229" s="32">
        <v>3</v>
      </c>
      <c r="K229" s="32"/>
      <c r="L229" s="32"/>
      <c r="M229" s="32"/>
      <c r="N229" s="32"/>
      <c r="O229" s="32"/>
      <c r="P229" s="32"/>
      <c r="Q229" s="8"/>
      <c r="R229" s="10"/>
      <c r="S229" s="73">
        <f>3*AO204-((D229+D231+D233)-3*AO204)*N238/I238-S231-S233</f>
        <v>25.939338458621528</v>
      </c>
      <c r="T229" s="74"/>
      <c r="U229" s="74" t="s">
        <v>0</v>
      </c>
      <c r="V229" s="32"/>
      <c r="W229" s="32"/>
      <c r="X229" s="32"/>
      <c r="Y229" s="32">
        <v>20</v>
      </c>
      <c r="Z229" s="32"/>
      <c r="AA229" s="3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5"/>
    </row>
    <row r="230" spans="1:55" x14ac:dyDescent="0.2">
      <c r="A230" s="5"/>
      <c r="B230" s="2"/>
      <c r="H230" s="31"/>
      <c r="I230" s="32"/>
      <c r="J230" s="32"/>
      <c r="K230" s="32"/>
      <c r="L230" s="32"/>
      <c r="M230" s="32"/>
      <c r="N230" s="32"/>
      <c r="O230" s="32"/>
      <c r="P230" s="32"/>
      <c r="Q230" s="8"/>
      <c r="R230" s="10"/>
      <c r="S230" s="73"/>
      <c r="T230" s="74"/>
      <c r="U230" s="74"/>
      <c r="V230" s="32"/>
      <c r="W230" s="32"/>
      <c r="X230" s="32"/>
      <c r="Y230" s="32"/>
      <c r="Z230" s="32"/>
      <c r="AA230" s="33"/>
      <c r="AH230" s="3"/>
      <c r="AI230" s="3"/>
      <c r="AM230" s="3"/>
      <c r="AN230" s="3"/>
      <c r="AO230" s="3"/>
      <c r="AP230" s="3"/>
      <c r="AQ230" s="3"/>
      <c r="AR230" s="3"/>
      <c r="AS230" s="3"/>
      <c r="AV230" s="3"/>
      <c r="AW230" s="3"/>
      <c r="AX230" s="3"/>
      <c r="AY230" s="3"/>
      <c r="AZ230" s="3"/>
      <c r="BA230" s="3"/>
      <c r="BB230" s="3"/>
      <c r="BC230" s="5"/>
    </row>
    <row r="231" spans="1:55" x14ac:dyDescent="0.2">
      <c r="A231" s="5"/>
      <c r="B231" s="2"/>
      <c r="D231" s="71">
        <f>2*AO204*(I238+N238+AH206*9)/(N238+AH206*9)-D233</f>
        <v>32.750505264034864</v>
      </c>
      <c r="E231" s="71"/>
      <c r="F231" s="3" t="s">
        <v>0</v>
      </c>
      <c r="H231" s="31"/>
      <c r="I231" s="32"/>
      <c r="J231" s="32">
        <v>2</v>
      </c>
      <c r="K231" s="32"/>
      <c r="L231" s="32"/>
      <c r="M231" s="32"/>
      <c r="N231" s="32"/>
      <c r="O231" s="32"/>
      <c r="P231" s="32"/>
      <c r="Q231" s="8"/>
      <c r="R231" s="10"/>
      <c r="S231" s="73">
        <f>2*AO204-((D231+D233)-2*AO204)*N238/I238-S233</f>
        <v>26.676472805957872</v>
      </c>
      <c r="T231" s="74"/>
      <c r="U231" s="74" t="s">
        <v>0</v>
      </c>
      <c r="V231" s="32"/>
      <c r="W231" s="32"/>
      <c r="X231" s="32"/>
      <c r="Y231" s="32">
        <v>21</v>
      </c>
      <c r="Z231" s="32"/>
      <c r="AA231" s="33"/>
      <c r="AH231" s="3"/>
      <c r="AI231" s="3"/>
      <c r="AM231" s="3"/>
      <c r="AN231" s="3"/>
      <c r="AO231" s="3"/>
      <c r="AP231" s="3"/>
      <c r="AQ231" s="3"/>
      <c r="AR231" s="3"/>
      <c r="AS231" s="3"/>
      <c r="AV231" s="3"/>
      <c r="AW231" s="3"/>
      <c r="AX231" s="3"/>
      <c r="AY231" s="3"/>
      <c r="AZ231" s="3"/>
      <c r="BA231" s="3"/>
      <c r="BB231" s="3"/>
      <c r="BC231" s="5"/>
    </row>
    <row r="232" spans="1:55" x14ac:dyDescent="0.2">
      <c r="A232" s="5"/>
      <c r="B232" s="2"/>
      <c r="C232" s="3"/>
      <c r="D232" s="3"/>
      <c r="E232" s="3"/>
      <c r="F232" s="3"/>
      <c r="G232" s="3"/>
      <c r="H232" s="31"/>
      <c r="I232" s="32"/>
      <c r="J232" s="32"/>
      <c r="K232" s="32"/>
      <c r="L232" s="32"/>
      <c r="M232" s="32"/>
      <c r="N232" s="32"/>
      <c r="O232" s="32"/>
      <c r="P232" s="32"/>
      <c r="Q232" s="8"/>
      <c r="R232" s="10"/>
      <c r="S232" s="73"/>
      <c r="T232" s="74"/>
      <c r="U232" s="74"/>
      <c r="V232" s="32"/>
      <c r="W232" s="32"/>
      <c r="X232" s="32"/>
      <c r="Y232" s="32"/>
      <c r="Z232" s="32"/>
      <c r="AA232" s="33"/>
      <c r="AB232" s="3"/>
      <c r="AC232" s="3"/>
      <c r="AD232" s="3"/>
      <c r="AE232" s="3"/>
      <c r="AF232" s="3"/>
      <c r="AG232" s="3"/>
      <c r="AH232" s="3"/>
      <c r="AI232" s="3"/>
      <c r="AM232" s="3"/>
      <c r="AN232" s="3"/>
      <c r="AO232" s="3"/>
      <c r="AP232" s="3"/>
      <c r="AQ232" s="3"/>
      <c r="AR232" s="3"/>
      <c r="AS232" s="3"/>
      <c r="AV232" s="3"/>
      <c r="AW232" s="3"/>
      <c r="AX232" s="3"/>
      <c r="AY232" s="3"/>
      <c r="AZ232" s="3"/>
      <c r="BA232" s="3"/>
      <c r="BB232" s="3"/>
      <c r="BC232" s="5"/>
    </row>
    <row r="233" spans="1:55" x14ac:dyDescent="0.2">
      <c r="A233" s="5"/>
      <c r="B233" s="2"/>
      <c r="D233" s="71">
        <f>AO204*(I238+N238+AH206*10)/(N238+AH206*10)</f>
        <v>32.292752451279448</v>
      </c>
      <c r="E233" s="71"/>
      <c r="F233" s="3" t="s">
        <v>0</v>
      </c>
      <c r="H233" s="31"/>
      <c r="I233" s="32"/>
      <c r="J233" s="32">
        <v>1</v>
      </c>
      <c r="K233" s="32"/>
      <c r="L233" s="32"/>
      <c r="M233" s="32"/>
      <c r="N233" s="32"/>
      <c r="O233" s="32"/>
      <c r="P233" s="32"/>
      <c r="Q233" s="8"/>
      <c r="R233" s="10"/>
      <c r="S233" s="73">
        <f>AO204-(D233-AO204)*N238/I238</f>
        <v>27.229590788037335</v>
      </c>
      <c r="T233" s="74"/>
      <c r="U233" s="74" t="s">
        <v>0</v>
      </c>
      <c r="V233" s="32"/>
      <c r="W233" s="32"/>
      <c r="X233" s="32"/>
      <c r="Y233" s="32">
        <v>22</v>
      </c>
      <c r="Z233" s="32"/>
      <c r="AA233" s="33"/>
      <c r="AH233" s="3"/>
      <c r="AI233" s="3"/>
      <c r="AM233" s="3"/>
      <c r="AN233" s="3"/>
      <c r="AO233" s="3"/>
      <c r="AP233" s="3"/>
      <c r="AQ233" s="3"/>
      <c r="AR233" s="3"/>
      <c r="AS233" s="3"/>
      <c r="AV233" s="3"/>
      <c r="AW233" s="3"/>
      <c r="AX233" s="3"/>
      <c r="AY233" s="3"/>
      <c r="AZ233" s="3"/>
      <c r="BA233" s="3"/>
      <c r="BB233" s="3"/>
      <c r="BC233" s="5"/>
    </row>
    <row r="234" spans="1:55" x14ac:dyDescent="0.2">
      <c r="A234" s="5"/>
      <c r="B234" s="2"/>
      <c r="C234" s="3"/>
      <c r="D234" s="3"/>
      <c r="E234" s="3"/>
      <c r="F234" s="3"/>
      <c r="G234" s="3"/>
      <c r="H234" s="35"/>
      <c r="I234" s="36"/>
      <c r="J234" s="36"/>
      <c r="K234" s="36"/>
      <c r="L234" s="36"/>
      <c r="M234" s="36"/>
      <c r="N234" s="36"/>
      <c r="O234" s="36"/>
      <c r="P234" s="36"/>
      <c r="Q234" s="11"/>
      <c r="R234" s="12"/>
      <c r="S234" s="75"/>
      <c r="T234" s="76"/>
      <c r="U234" s="76"/>
      <c r="V234" s="36"/>
      <c r="W234" s="36"/>
      <c r="X234" s="36"/>
      <c r="Y234" s="36"/>
      <c r="Z234" s="36"/>
      <c r="AA234" s="37"/>
      <c r="AB234" s="3"/>
      <c r="AC234" s="3"/>
      <c r="AD234" s="3"/>
      <c r="AE234" s="3"/>
      <c r="AF234" s="3"/>
      <c r="AG234" s="3"/>
      <c r="AH234" s="3"/>
      <c r="AI234" s="3"/>
      <c r="AM234" s="3"/>
      <c r="AN234" s="3"/>
      <c r="AO234" s="3"/>
      <c r="AP234" s="3"/>
      <c r="AQ234" s="3"/>
      <c r="AR234" s="3"/>
      <c r="AS234" s="3"/>
      <c r="AV234" s="3"/>
      <c r="AW234" s="3"/>
      <c r="AX234" s="3"/>
      <c r="AY234" s="3"/>
      <c r="AZ234" s="3"/>
      <c r="BA234" s="3"/>
      <c r="BB234" s="3"/>
      <c r="BC234" s="5"/>
    </row>
    <row r="235" spans="1:55" x14ac:dyDescent="0.2">
      <c r="A235" s="5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M235" s="3"/>
      <c r="AN235" s="3"/>
      <c r="AO235" s="3"/>
      <c r="AP235" s="3"/>
      <c r="AQ235" s="3"/>
      <c r="AR235" s="3"/>
      <c r="AS235" s="3"/>
      <c r="AV235" s="3"/>
      <c r="AW235" s="3"/>
      <c r="AX235" s="3"/>
      <c r="AY235" s="3"/>
      <c r="AZ235" s="3"/>
      <c r="BA235" s="3"/>
      <c r="BB235" s="3"/>
      <c r="BC235" s="5"/>
    </row>
    <row r="236" spans="1:55" x14ac:dyDescent="0.2">
      <c r="A236" s="5"/>
      <c r="B236" s="2"/>
      <c r="C236" s="3"/>
      <c r="D236" s="3"/>
      <c r="E236" s="3"/>
      <c r="F236" s="3"/>
      <c r="G236" s="3"/>
      <c r="H236" s="3"/>
      <c r="I236" s="3"/>
      <c r="J236" s="3"/>
      <c r="K236" s="78">
        <v>120</v>
      </c>
      <c r="L236" s="78"/>
      <c r="M236" s="3" t="s">
        <v>0</v>
      </c>
      <c r="N236" s="3"/>
      <c r="O236" s="3"/>
      <c r="P236" s="3"/>
      <c r="Q236" s="78">
        <v>25</v>
      </c>
      <c r="R236" s="78"/>
      <c r="S236" s="3" t="s">
        <v>0</v>
      </c>
      <c r="T236" s="3"/>
      <c r="U236" s="3"/>
      <c r="V236" s="71">
        <f>+K236</f>
        <v>120</v>
      </c>
      <c r="W236" s="71"/>
      <c r="X236" s="3" t="s">
        <v>0</v>
      </c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 t="s">
        <v>9</v>
      </c>
      <c r="AK236" s="3"/>
      <c r="AL236" s="71">
        <f>+AO204</f>
        <v>30</v>
      </c>
      <c r="AM236" s="71"/>
      <c r="AN236" s="3" t="s">
        <v>0</v>
      </c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5"/>
    </row>
    <row r="237" spans="1:55" x14ac:dyDescent="0.2">
      <c r="A237" s="5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W237" s="3"/>
      <c r="AX237" s="3"/>
      <c r="AY237" s="3"/>
      <c r="AZ237" s="3"/>
      <c r="BA237" s="3"/>
      <c r="BB237" s="3"/>
      <c r="BC237" s="5"/>
    </row>
    <row r="238" spans="1:55" x14ac:dyDescent="0.2">
      <c r="A238" s="5"/>
      <c r="B238" s="2"/>
      <c r="C238" s="3"/>
      <c r="D238" s="3"/>
      <c r="E238" s="3"/>
      <c r="F238" s="3"/>
      <c r="G238" s="3"/>
      <c r="H238" s="3"/>
      <c r="I238" s="71">
        <f>+K236/2</f>
        <v>60</v>
      </c>
      <c r="J238" s="71"/>
      <c r="K238" s="3" t="s">
        <v>0</v>
      </c>
      <c r="L238" s="3"/>
      <c r="M238" s="3"/>
      <c r="N238" s="71">
        <f>+K236/2+Q236/2</f>
        <v>72.5</v>
      </c>
      <c r="O238" s="71"/>
      <c r="P238" s="3" t="s">
        <v>0</v>
      </c>
      <c r="Q238" s="3"/>
      <c r="R238" s="3"/>
      <c r="S238" s="3"/>
      <c r="T238" s="71">
        <f>+V236/2+Q236/2</f>
        <v>72.5</v>
      </c>
      <c r="U238" s="71"/>
      <c r="V238" s="3" t="s">
        <v>0</v>
      </c>
      <c r="W238" s="3"/>
      <c r="X238" s="3"/>
      <c r="Y238" s="71">
        <f>+V236/2</f>
        <v>60</v>
      </c>
      <c r="Z238" s="71"/>
      <c r="AA238" s="3" t="s">
        <v>0</v>
      </c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W238" s="3"/>
      <c r="AX238" s="3"/>
      <c r="AY238" s="3"/>
      <c r="AZ238" s="3"/>
      <c r="BA238" s="3"/>
      <c r="BB238" s="3"/>
      <c r="BC238" s="5"/>
    </row>
    <row r="239" spans="1:55" x14ac:dyDescent="0.2">
      <c r="A239" s="5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W239" s="3"/>
      <c r="AX239" s="3"/>
      <c r="AY239" s="3"/>
      <c r="AZ239" s="3"/>
      <c r="BA239" s="3"/>
      <c r="BB239" s="3"/>
      <c r="BC239" s="5"/>
    </row>
    <row r="240" spans="1:55" x14ac:dyDescent="0.2">
      <c r="A240" s="5"/>
      <c r="B240" s="2"/>
      <c r="C240" s="3"/>
      <c r="D240" s="3"/>
      <c r="E240" s="3"/>
      <c r="F240" s="3"/>
      <c r="G240" s="3"/>
      <c r="H240" s="3"/>
      <c r="I240" s="3"/>
      <c r="J240" s="3"/>
      <c r="K240" s="72">
        <f>+K236+Q236/2</f>
        <v>132.5</v>
      </c>
      <c r="L240" s="72"/>
      <c r="M240" s="72"/>
      <c r="N240" s="3" t="s">
        <v>0</v>
      </c>
      <c r="O240" s="3"/>
      <c r="P240" s="3"/>
      <c r="Q240" s="3"/>
      <c r="R240" s="3"/>
      <c r="S240" s="3"/>
      <c r="T240" s="3"/>
      <c r="U240" s="71">
        <f>+K240</f>
        <v>132.5</v>
      </c>
      <c r="V240" s="71"/>
      <c r="W240" s="71"/>
      <c r="X240" s="3" t="s">
        <v>0</v>
      </c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 t="s">
        <v>21</v>
      </c>
      <c r="AK240" s="3"/>
      <c r="AL240" s="3"/>
      <c r="AM240" s="3"/>
      <c r="AN240" s="3"/>
      <c r="AO240" s="3"/>
      <c r="AP240" s="38"/>
      <c r="AQ240" s="38"/>
      <c r="AR240" s="9"/>
      <c r="AS240" s="3"/>
      <c r="AT240" s="3"/>
      <c r="AU240" s="3"/>
      <c r="AW240" s="3"/>
      <c r="AX240" s="3"/>
      <c r="AY240" s="3"/>
      <c r="AZ240" s="3"/>
      <c r="BA240" s="3"/>
      <c r="BB240" s="3"/>
      <c r="BC240" s="5"/>
    </row>
    <row r="241" spans="1:95" x14ac:dyDescent="0.2">
      <c r="A241" s="5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W241" s="3"/>
      <c r="AX241" s="3"/>
      <c r="AY241" s="3"/>
      <c r="AZ241" s="3"/>
      <c r="BA241" s="3"/>
      <c r="BB241" s="3"/>
      <c r="BC241" s="5"/>
    </row>
    <row r="242" spans="1:95" x14ac:dyDescent="0.2">
      <c r="A242" s="5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71">
        <f>+K236+Q236+V236</f>
        <v>265</v>
      </c>
      <c r="R242" s="71"/>
      <c r="S242" s="3" t="s">
        <v>0</v>
      </c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W242" s="3"/>
      <c r="AX242" s="3"/>
      <c r="AY242" s="3"/>
      <c r="AZ242" s="3"/>
      <c r="BA242" s="3"/>
      <c r="BB242" s="3"/>
      <c r="BC242" s="5"/>
    </row>
    <row r="243" spans="1:95" ht="12" thickBot="1" x14ac:dyDescent="0.25">
      <c r="A243" s="5"/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5"/>
    </row>
    <row r="244" spans="1:95" ht="12" thickBot="1" x14ac:dyDescent="0.25"/>
    <row r="245" spans="1:95" ht="48.75" customHeight="1" x14ac:dyDescent="0.2">
      <c r="A245" s="18"/>
      <c r="B245" s="85" t="s">
        <v>33</v>
      </c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6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</row>
    <row r="246" spans="1:95" x14ac:dyDescent="0.2">
      <c r="A246" s="23"/>
      <c r="B246" s="3"/>
      <c r="C246" s="3"/>
      <c r="D246" s="3"/>
      <c r="E246" s="3"/>
      <c r="F246" s="3"/>
      <c r="G246" s="3"/>
      <c r="H246" s="3"/>
      <c r="I246" s="3"/>
      <c r="J246" s="3"/>
      <c r="K246" s="3"/>
      <c r="N246" s="3"/>
      <c r="O246" s="3"/>
      <c r="P246" s="3"/>
      <c r="Q246" s="3"/>
      <c r="R246" s="3"/>
      <c r="S246" s="3"/>
      <c r="T246" s="3"/>
      <c r="U246" s="3"/>
      <c r="X246" s="3"/>
      <c r="Y246" s="3"/>
      <c r="Z246" s="16" t="s">
        <v>5</v>
      </c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18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</row>
    <row r="247" spans="1:95" x14ac:dyDescent="0.2">
      <c r="A247" s="23"/>
      <c r="B247" s="3"/>
      <c r="C247" s="3"/>
      <c r="D247" s="3"/>
      <c r="E247" s="3"/>
      <c r="F247" s="3"/>
      <c r="G247" s="3"/>
      <c r="H247" s="3"/>
      <c r="I247" s="3"/>
      <c r="J247" s="3"/>
      <c r="K247" s="71">
        <f>+K284</f>
        <v>132.5</v>
      </c>
      <c r="L247" s="71"/>
      <c r="M247" s="71"/>
      <c r="N247" s="3" t="s">
        <v>0</v>
      </c>
      <c r="O247" s="3"/>
      <c r="P247" s="3"/>
      <c r="Q247" s="3"/>
      <c r="R247" s="3"/>
      <c r="S247" s="3"/>
      <c r="T247" s="3"/>
      <c r="U247" s="71">
        <f>+K247</f>
        <v>132.5</v>
      </c>
      <c r="V247" s="71"/>
      <c r="W247" s="71"/>
      <c r="X247" s="3" t="s">
        <v>0</v>
      </c>
      <c r="Y247" s="3"/>
      <c r="Z247" s="16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5"/>
    </row>
    <row r="248" spans="1:95" x14ac:dyDescent="0.2">
      <c r="A248" s="23"/>
      <c r="B248" s="3"/>
      <c r="C248" s="3"/>
      <c r="F248" s="3"/>
      <c r="G248" s="3"/>
      <c r="H248" s="3"/>
      <c r="I248" s="3"/>
      <c r="J248" s="3"/>
      <c r="K248" s="3"/>
      <c r="L248" s="3"/>
      <c r="Q248" s="3"/>
      <c r="R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G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5"/>
    </row>
    <row r="249" spans="1:95" x14ac:dyDescent="0.2">
      <c r="A249" s="23"/>
      <c r="B249" s="3"/>
      <c r="C249" s="3"/>
      <c r="D249" s="3"/>
      <c r="E249" s="3"/>
      <c r="F249" s="3"/>
      <c r="G249" s="71">
        <f>+K247-M249-P249-J249</f>
        <v>7.7415226981474348</v>
      </c>
      <c r="H249" s="71"/>
      <c r="I249" s="1" t="s">
        <v>0</v>
      </c>
      <c r="J249" s="71">
        <f>(N282*SIN((2.5*AP250*360/(2*PI()*N282))*PI()/180))*((I282+N282-(N282*COS((2.5*AP250*360/(2*PI()*N282))*PI()/180)))+((N282*SIN((2.5*AP250*360/(2*PI()*N282))*PI()/180))*((N282*COS((2.5*AP250*360/(2*PI()*N282))*PI()/180))+AC268)/((N282*SIN((2.5*AP250*360/(2*PI()*N282))*PI()/180))+3*AI252)))/((N282*SIN((2.5*AP250*360/(2*PI()*N282))*PI()/180))*((N282*COS((2.5*AP250*360/(2*PI()*N282))*PI()/180))+AC268)/((N282*SIN((2.5*AP250*360/(2*PI()*N282))*PI()/180))+3*AI252))-P249-M249</f>
        <v>53.060135512787397</v>
      </c>
      <c r="K249" s="71"/>
      <c r="L249" s="1" t="s">
        <v>0</v>
      </c>
      <c r="M249" s="71">
        <f>(N282*SIN((1.5*AP250*360/(2*PI()*N282))*PI()/180))*((I282+N282-(N282*COS((1.5*AP250*360/(2*PI()*N282))*PI()/180)))+((N282*SIN((1.5*AP250*360/(2*PI()*N282))*PI()/180))*((N282*COS((1.5*AP250*360/(2*PI()*N282))*PI()/180))+AC268)/((N282*SIN((1.5*AP250*360/(2*PI()*N282))*PI()/180))+2*AI252)))/((N282*SIN((1.5*AP250*360/(2*PI()*N282))*PI()/180))*((N282*COS((1.5*AP250*360/(2*PI()*N282))*PI()/180))+AC268)/((N282*SIN((1.5*AP250*360/(2*PI()*N282))*PI()/180))+2*AI252))-P249</f>
        <v>46.388532391628985</v>
      </c>
      <c r="N249" s="71"/>
      <c r="O249" s="1" t="s">
        <v>0</v>
      </c>
      <c r="P249" s="71">
        <f>((N282*SIN((AP250/2*360/(2*PI()*N282))*PI()/180))-Q259)*(I282-((N282*COS((AP250/2*360/(2*PI()*N282))*PI()/180))-M262)+I282)/((N282*COS((AP250/2*360/(2*PI()*N282))*PI()/180))-M262)+(N282*SIN((AP250/2*360/(2*PI()*N282))*PI()/180))</f>
        <v>25.309809397436183</v>
      </c>
      <c r="Q249" s="71"/>
      <c r="R249" s="71">
        <f>+P249</f>
        <v>25.309809397436183</v>
      </c>
      <c r="S249" s="71"/>
      <c r="T249" s="71">
        <f>+M249</f>
        <v>46.388532391628985</v>
      </c>
      <c r="U249" s="71"/>
      <c r="V249" s="1" t="s">
        <v>0</v>
      </c>
      <c r="X249" s="71">
        <f>+J249</f>
        <v>53.060135512787397</v>
      </c>
      <c r="Y249" s="71"/>
      <c r="Z249" s="1" t="s">
        <v>0</v>
      </c>
      <c r="AA249" s="71">
        <f>+G249</f>
        <v>7.7415226981474348</v>
      </c>
      <c r="AB249" s="71"/>
      <c r="AC249" s="3" t="s">
        <v>0</v>
      </c>
      <c r="AD249" s="3"/>
      <c r="AG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5"/>
      <c r="BG249" s="27" t="s">
        <v>22</v>
      </c>
    </row>
    <row r="250" spans="1:95" x14ac:dyDescent="0.2">
      <c r="A250" s="2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I250" s="3" t="s">
        <v>1</v>
      </c>
      <c r="AJ250" s="3"/>
      <c r="AK250" s="3"/>
      <c r="AL250" s="3"/>
      <c r="AM250" s="3"/>
      <c r="AN250" s="3"/>
      <c r="AO250" s="3"/>
      <c r="AP250" s="78">
        <v>30</v>
      </c>
      <c r="AQ250" s="78"/>
      <c r="AR250" s="3" t="s">
        <v>0</v>
      </c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5"/>
      <c r="BG250" s="3" t="s">
        <v>18</v>
      </c>
      <c r="BH250" s="3"/>
      <c r="BI250" s="3"/>
      <c r="BJ250" s="3"/>
      <c r="BK250" s="3"/>
      <c r="BL250" s="78">
        <v>3.5</v>
      </c>
      <c r="BM250" s="78"/>
      <c r="BN250" s="3" t="s">
        <v>10</v>
      </c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</row>
    <row r="251" spans="1:95" x14ac:dyDescent="0.2">
      <c r="A251" s="2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 t="s">
        <v>3</v>
      </c>
      <c r="AJ251" s="3"/>
      <c r="AK251" s="3"/>
      <c r="AL251" s="3"/>
      <c r="AM251" s="3"/>
      <c r="AN251" s="3"/>
      <c r="AO251" s="9">
        <v>21</v>
      </c>
      <c r="AP251" s="3" t="s">
        <v>4</v>
      </c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5"/>
      <c r="BG251" s="21" t="s">
        <v>6</v>
      </c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</row>
    <row r="252" spans="1:95" x14ac:dyDescent="0.2">
      <c r="A252" s="23"/>
      <c r="B252" s="3"/>
      <c r="C252" s="3"/>
      <c r="D252" s="3"/>
      <c r="E252" s="3"/>
      <c r="F252" s="3"/>
      <c r="G252" s="3"/>
      <c r="H252" s="28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30"/>
      <c r="AB252" s="3"/>
      <c r="AC252" s="3"/>
      <c r="AD252" s="3"/>
      <c r="AE252" s="3"/>
      <c r="AF252" s="3"/>
      <c r="AG252" s="3"/>
      <c r="AI252" s="82">
        <f>P249*(AC268+M262-S262)/(AC257-M262+S262)</f>
        <v>31.154383022533764</v>
      </c>
      <c r="AJ252" s="82"/>
      <c r="AK252" s="82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5"/>
      <c r="BG252" s="3" t="s">
        <v>7</v>
      </c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CQ252" s="3"/>
    </row>
    <row r="253" spans="1:95" x14ac:dyDescent="0.2">
      <c r="A253" s="23"/>
      <c r="B253" s="3"/>
      <c r="C253" s="3"/>
      <c r="D253" s="71">
        <f>+C264-D257-D262-D265-D269-D272-D274-D277</f>
        <v>58.967734295653443</v>
      </c>
      <c r="E253" s="71"/>
      <c r="F253" s="3" t="s">
        <v>0</v>
      </c>
      <c r="G253" s="3"/>
      <c r="H253" s="31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3"/>
      <c r="AB253" s="3"/>
      <c r="AC253" s="3"/>
      <c r="AD253" s="3"/>
      <c r="AE253" s="3"/>
      <c r="AF253" s="3"/>
      <c r="AG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5"/>
      <c r="BG253" s="3" t="s">
        <v>8</v>
      </c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CO253" s="3"/>
      <c r="CP253" s="3"/>
      <c r="CQ253" s="3"/>
    </row>
    <row r="254" spans="1:95" x14ac:dyDescent="0.2">
      <c r="A254" s="23"/>
      <c r="B254" s="3"/>
      <c r="C254" s="3"/>
      <c r="D254" s="3"/>
      <c r="E254" s="3"/>
      <c r="F254" s="3"/>
      <c r="G254" s="3"/>
      <c r="H254" s="31"/>
      <c r="I254" s="32"/>
      <c r="J254" s="32"/>
      <c r="K254" s="32"/>
      <c r="L254" s="32">
        <v>9</v>
      </c>
      <c r="M254" s="32"/>
      <c r="N254" s="32"/>
      <c r="O254" s="44">
        <v>10</v>
      </c>
      <c r="P254" s="32"/>
      <c r="Q254" s="74">
        <v>11</v>
      </c>
      <c r="R254" s="74"/>
      <c r="S254" s="32"/>
      <c r="T254" s="32">
        <v>12</v>
      </c>
      <c r="U254" s="32"/>
      <c r="V254" s="32"/>
      <c r="W254" s="32">
        <v>13</v>
      </c>
      <c r="X254" s="32"/>
      <c r="Y254" s="32"/>
      <c r="Z254" s="32"/>
      <c r="AA254" s="33"/>
      <c r="AB254" s="3"/>
      <c r="AC254" s="3"/>
      <c r="AD254" s="3"/>
      <c r="AE254" s="3"/>
      <c r="AF254" s="3"/>
      <c r="AG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5"/>
      <c r="BG254" s="3" t="s">
        <v>9</v>
      </c>
      <c r="BH254" s="3"/>
      <c r="BI254" s="71">
        <f>0.63-2*BI255</f>
        <v>0.29666666666666669</v>
      </c>
      <c r="BJ254" s="71"/>
      <c r="BK254" s="71"/>
      <c r="BL254" s="3" t="s">
        <v>10</v>
      </c>
      <c r="BM254" s="3" t="s">
        <v>11</v>
      </c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CO254" s="3"/>
      <c r="CP254" s="3"/>
      <c r="CQ254" s="3"/>
    </row>
    <row r="255" spans="1:95" x14ac:dyDescent="0.2">
      <c r="A255" s="23"/>
      <c r="B255" s="3"/>
      <c r="C255" s="3"/>
      <c r="D255" s="3"/>
      <c r="E255" s="3"/>
      <c r="F255" s="3"/>
      <c r="G255" s="3"/>
      <c r="H255" s="31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3"/>
      <c r="AB255" s="3"/>
      <c r="AC255" s="79" t="s">
        <v>0</v>
      </c>
      <c r="AD255" s="3"/>
      <c r="AE255" s="79" t="s">
        <v>0</v>
      </c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5"/>
      <c r="BG255" s="3" t="s">
        <v>12</v>
      </c>
      <c r="BH255" s="3"/>
      <c r="BI255" s="71">
        <f>BL250/BL256</f>
        <v>0.16666666666666666</v>
      </c>
      <c r="BJ255" s="71"/>
      <c r="BK255" s="71"/>
      <c r="BL255" s="3" t="s">
        <v>10</v>
      </c>
      <c r="BM255" s="3" t="s">
        <v>13</v>
      </c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</row>
    <row r="256" spans="1:95" x14ac:dyDescent="0.2">
      <c r="A256" s="23"/>
      <c r="B256" s="3"/>
      <c r="C256" s="3"/>
      <c r="D256" s="3"/>
      <c r="E256" s="3"/>
      <c r="F256" s="3"/>
      <c r="G256" s="3"/>
      <c r="H256" s="31"/>
      <c r="I256" s="32"/>
      <c r="J256" s="32">
        <v>8</v>
      </c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>
        <v>14</v>
      </c>
      <c r="Z256" s="32"/>
      <c r="AA256" s="33"/>
      <c r="AB256" s="3"/>
      <c r="AC256" s="79"/>
      <c r="AD256" s="3"/>
      <c r="AE256" s="79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5"/>
      <c r="BG256" s="3" t="s">
        <v>14</v>
      </c>
      <c r="BH256" s="3"/>
      <c r="BI256" s="3"/>
      <c r="BJ256" s="3"/>
      <c r="BK256" s="3"/>
      <c r="BL256" s="72">
        <v>21</v>
      </c>
      <c r="BM256" s="72"/>
      <c r="BN256" s="3" t="s">
        <v>4</v>
      </c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</row>
    <row r="257" spans="1:77" x14ac:dyDescent="0.2">
      <c r="A257" s="23"/>
      <c r="B257" s="3"/>
      <c r="C257" s="3"/>
      <c r="D257" s="71">
        <f>((S268+S269+S271+S272+S274+S276+S277)*(K284+4*AI252)/(4*AI252))-((S269+S271+S272+S274+S276+S277)*(K284+5*AI252)/(5*AI252))</f>
        <v>47.337535725754663</v>
      </c>
      <c r="E257" s="71"/>
      <c r="F257" s="3" t="s">
        <v>0</v>
      </c>
      <c r="G257" s="3"/>
      <c r="H257" s="31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3"/>
      <c r="AB257" s="3"/>
      <c r="AC257" s="79">
        <f>+K280+Q280/2</f>
        <v>132.5</v>
      </c>
      <c r="AD257" s="3"/>
      <c r="AE257" s="79">
        <f>+C264-AE267</f>
        <v>120</v>
      </c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9"/>
      <c r="BB257" s="9"/>
      <c r="BC257" s="23"/>
      <c r="BG257" s="3">
        <v>2</v>
      </c>
      <c r="BH257" s="43" t="s">
        <v>15</v>
      </c>
      <c r="BI257" s="71">
        <f>+BI255</f>
        <v>0.16666666666666666</v>
      </c>
      <c r="BJ257" s="71"/>
      <c r="BK257" s="71"/>
      <c r="BL257" s="43" t="s">
        <v>16</v>
      </c>
      <c r="BM257" s="71">
        <f>+BI254</f>
        <v>0.29666666666666669</v>
      </c>
      <c r="BN257" s="71"/>
      <c r="BO257" s="71"/>
      <c r="BP257" s="43" t="s">
        <v>17</v>
      </c>
      <c r="BQ257" s="71">
        <f>+BG257*BI257+BM257</f>
        <v>0.63</v>
      </c>
      <c r="BR257" s="71"/>
      <c r="BS257" s="71"/>
      <c r="BT257" s="3" t="s">
        <v>10</v>
      </c>
      <c r="BU257" s="3"/>
      <c r="BV257" s="16" t="str">
        <f>IF(BQ257=0.63,"uygun.","uygun değil.")</f>
        <v>uygun.</v>
      </c>
      <c r="BW257" s="3"/>
      <c r="BX257" s="3"/>
      <c r="BY257" s="3"/>
    </row>
    <row r="258" spans="1:77" x14ac:dyDescent="0.2">
      <c r="A258" s="23"/>
      <c r="B258" s="3"/>
      <c r="C258" s="3"/>
      <c r="D258" s="3"/>
      <c r="E258" s="3"/>
      <c r="F258" s="3"/>
      <c r="G258" s="3"/>
      <c r="H258" s="31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3"/>
      <c r="AB258" s="3"/>
      <c r="AC258" s="79"/>
      <c r="AD258" s="3"/>
      <c r="AE258" s="79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9"/>
      <c r="BB258" s="9"/>
      <c r="BC258" s="23"/>
    </row>
    <row r="259" spans="1:77" x14ac:dyDescent="0.2">
      <c r="A259" s="23"/>
      <c r="B259" s="3"/>
      <c r="C259" s="3"/>
      <c r="D259" s="3"/>
      <c r="E259" s="3"/>
      <c r="F259" s="3"/>
      <c r="G259" s="3"/>
      <c r="H259" s="31"/>
      <c r="I259" s="32"/>
      <c r="J259" s="32"/>
      <c r="K259" s="32"/>
      <c r="L259" s="32"/>
      <c r="M259" s="32"/>
      <c r="N259" s="32"/>
      <c r="O259" s="32"/>
      <c r="P259" s="32"/>
      <c r="Q259" s="20">
        <v>5</v>
      </c>
      <c r="R259" s="32" t="s">
        <v>0</v>
      </c>
      <c r="S259" s="32"/>
      <c r="T259" s="32"/>
      <c r="U259" s="32"/>
      <c r="V259" s="32"/>
      <c r="W259" s="32"/>
      <c r="X259" s="32"/>
      <c r="Y259" s="32"/>
      <c r="Z259" s="32"/>
      <c r="AA259" s="33"/>
      <c r="AB259" s="3"/>
      <c r="AC259" s="79"/>
      <c r="AD259" s="3"/>
      <c r="AE259" s="79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9"/>
      <c r="BB259" s="9"/>
      <c r="BC259" s="23"/>
    </row>
    <row r="260" spans="1:77" x14ac:dyDescent="0.2">
      <c r="A260" s="23"/>
      <c r="B260" s="3"/>
      <c r="C260" s="3"/>
      <c r="D260" s="3"/>
      <c r="E260" s="3"/>
      <c r="F260" s="3"/>
      <c r="G260" s="3"/>
      <c r="H260" s="31"/>
      <c r="I260" s="32"/>
      <c r="J260" s="32">
        <v>7</v>
      </c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>
        <v>15</v>
      </c>
      <c r="Z260" s="32"/>
      <c r="AA260" s="3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9"/>
      <c r="BB260" s="9"/>
      <c r="BC260" s="23"/>
      <c r="BG260" s="1" t="s">
        <v>19</v>
      </c>
    </row>
    <row r="261" spans="1:77" x14ac:dyDescent="0.2">
      <c r="A261" s="23"/>
      <c r="B261" s="3"/>
      <c r="C261" s="3"/>
      <c r="D261" s="3"/>
      <c r="E261" s="3"/>
      <c r="F261" s="3"/>
      <c r="G261" s="3"/>
      <c r="H261" s="31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9"/>
      <c r="AN261" s="9"/>
      <c r="AO261" s="9"/>
      <c r="AP261" s="9"/>
      <c r="AQ261" s="9"/>
      <c r="AR261" s="9"/>
      <c r="AS261" s="9"/>
      <c r="AT261" s="3"/>
      <c r="AU261" s="3"/>
      <c r="AV261" s="3"/>
      <c r="AW261" s="3"/>
      <c r="AX261" s="3"/>
      <c r="AY261" s="3"/>
      <c r="AZ261" s="3"/>
      <c r="BA261" s="9"/>
      <c r="BB261" s="9"/>
      <c r="BC261" s="23"/>
      <c r="BG261" s="4" t="s">
        <v>2</v>
      </c>
    </row>
    <row r="262" spans="1:77" x14ac:dyDescent="0.2">
      <c r="A262" s="23"/>
      <c r="B262" s="3"/>
      <c r="C262" s="79" t="s">
        <v>0</v>
      </c>
      <c r="D262" s="71">
        <f>6*AP250*(I282+N282+AI252*5)/(N282+AI252*5)-D272-D269-D265-D274-D277</f>
        <v>42.620062335188877</v>
      </c>
      <c r="E262" s="71"/>
      <c r="F262" s="3" t="s">
        <v>0</v>
      </c>
      <c r="G262" s="3"/>
      <c r="H262" s="31"/>
      <c r="I262" s="32"/>
      <c r="J262" s="32"/>
      <c r="K262" s="32"/>
      <c r="L262" s="32"/>
      <c r="M262" s="74">
        <f>+Q280/2</f>
        <v>12.5</v>
      </c>
      <c r="N262" s="74"/>
      <c r="O262" s="32"/>
      <c r="P262" s="32"/>
      <c r="Q262" s="6"/>
      <c r="R262" s="7"/>
      <c r="S262" s="80">
        <f>Q259*K280/(P249-Q259)</f>
        <v>29.542374734237598</v>
      </c>
      <c r="T262" s="81"/>
      <c r="U262" s="74" t="s">
        <v>0</v>
      </c>
      <c r="V262" s="32"/>
      <c r="W262" s="32"/>
      <c r="X262" s="32"/>
      <c r="Y262" s="32"/>
      <c r="Z262" s="32"/>
      <c r="AA262" s="3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23"/>
    </row>
    <row r="263" spans="1:77" x14ac:dyDescent="0.2">
      <c r="A263" s="23"/>
      <c r="B263" s="3"/>
      <c r="C263" s="79"/>
      <c r="D263" s="3"/>
      <c r="E263" s="3"/>
      <c r="F263" s="3"/>
      <c r="G263" s="3"/>
      <c r="H263" s="31"/>
      <c r="I263" s="32"/>
      <c r="J263" s="32"/>
      <c r="K263" s="32"/>
      <c r="L263" s="32"/>
      <c r="M263" s="32"/>
      <c r="N263" s="32"/>
      <c r="O263" s="32"/>
      <c r="P263" s="32"/>
      <c r="Q263" s="8"/>
      <c r="R263" s="10"/>
      <c r="S263" s="80"/>
      <c r="T263" s="81"/>
      <c r="U263" s="74"/>
      <c r="V263" s="32"/>
      <c r="W263" s="32"/>
      <c r="X263" s="32"/>
      <c r="Y263" s="32"/>
      <c r="Z263" s="32"/>
      <c r="AA263" s="3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23"/>
      <c r="BG263" s="1" t="s">
        <v>20</v>
      </c>
    </row>
    <row r="264" spans="1:77" x14ac:dyDescent="0.2">
      <c r="A264" s="23"/>
      <c r="B264" s="3"/>
      <c r="C264" s="79">
        <f>+AC257+AC268</f>
        <v>333.61726630737002</v>
      </c>
      <c r="D264" s="3"/>
      <c r="E264" s="3"/>
      <c r="F264" s="3"/>
      <c r="G264" s="3"/>
      <c r="H264" s="31"/>
      <c r="I264" s="32"/>
      <c r="J264" s="32">
        <v>6</v>
      </c>
      <c r="K264" s="32"/>
      <c r="L264" s="32"/>
      <c r="M264" s="32"/>
      <c r="N264" s="32"/>
      <c r="O264" s="32"/>
      <c r="P264" s="32"/>
      <c r="Q264" s="8"/>
      <c r="R264" s="10"/>
      <c r="S264" s="73">
        <f>(N282*SIN((1.5*AP250*360/(2*PI()*N282))*PI()/180))*((N282*COS((1.5*AP250*360/(2*PI()*N282))*PI()/180))+AC268)/((N282*SIN((1.5*AP250*360/(2*PI()*N282))*PI()/180))+2*AI252)-(N282*COS((1.5*AP250*360/(2*PI()*N282))*PI()/180))+M262-S262</f>
        <v>28.954163046774227</v>
      </c>
      <c r="T264" s="74"/>
      <c r="U264" s="74" t="s">
        <v>0</v>
      </c>
      <c r="V264" s="32"/>
      <c r="W264" s="32"/>
      <c r="X264" s="32"/>
      <c r="Y264" s="32">
        <v>16</v>
      </c>
      <c r="Z264" s="32"/>
      <c r="AA264" s="3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23"/>
    </row>
    <row r="265" spans="1:77" x14ac:dyDescent="0.2">
      <c r="A265" s="23"/>
      <c r="B265" s="3"/>
      <c r="C265" s="79"/>
      <c r="D265" s="71">
        <f>5*AP250*(I282+N282+AI252*6)/(N282+AI252*6)-D272-D269-D274-D277</f>
        <v>39.913961886994969</v>
      </c>
      <c r="E265" s="71"/>
      <c r="F265" s="3" t="s">
        <v>0</v>
      </c>
      <c r="G265" s="3"/>
      <c r="H265" s="31"/>
      <c r="I265" s="32"/>
      <c r="J265" s="32"/>
      <c r="K265" s="32"/>
      <c r="L265" s="32"/>
      <c r="M265" s="32"/>
      <c r="N265" s="32"/>
      <c r="O265" s="32"/>
      <c r="P265" s="32"/>
      <c r="Q265" s="8"/>
      <c r="R265" s="10"/>
      <c r="S265" s="73"/>
      <c r="T265" s="74"/>
      <c r="U265" s="74"/>
      <c r="V265" s="32"/>
      <c r="W265" s="32"/>
      <c r="X265" s="32"/>
      <c r="Y265" s="32"/>
      <c r="Z265" s="32"/>
      <c r="AA265" s="33"/>
      <c r="AB265" s="3"/>
      <c r="AC265" s="3"/>
      <c r="AD265" s="3"/>
      <c r="AE265" s="79" t="s">
        <v>0</v>
      </c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23"/>
    </row>
    <row r="266" spans="1:77" x14ac:dyDescent="0.2">
      <c r="A266" s="23"/>
      <c r="B266" s="3"/>
      <c r="C266" s="79"/>
      <c r="G266" s="3"/>
      <c r="H266" s="31"/>
      <c r="I266" s="32"/>
      <c r="J266" s="32"/>
      <c r="K266" s="32"/>
      <c r="L266" s="32"/>
      <c r="M266" s="32"/>
      <c r="N266" s="32"/>
      <c r="O266" s="32"/>
      <c r="P266" s="32"/>
      <c r="Q266" s="8"/>
      <c r="R266" s="10"/>
      <c r="S266" s="73">
        <f>(N282*SIN((2.5*AP250*360/(2*PI()*N282))*PI()/180))*((N282*COS((2.5*AP250*360/(2*PI()*N282))*PI()/180))+AC268)/((N282*SIN((2.5*AP250*360/(2*PI()*N282))*PI()/180))+3*AI252)-(N282*COS((2.5*AP250*360/(2*PI()*N282))*PI()/180))+M262-S262-S264</f>
        <v>12.234247423786798</v>
      </c>
      <c r="T266" s="74"/>
      <c r="U266" s="32" t="s">
        <v>0</v>
      </c>
      <c r="V266" s="32"/>
      <c r="W266" s="32"/>
      <c r="X266" s="32"/>
      <c r="Y266" s="32"/>
      <c r="Z266" s="32"/>
      <c r="AA266" s="33"/>
      <c r="AB266" s="3"/>
      <c r="AC266" s="79" t="s">
        <v>0</v>
      </c>
      <c r="AD266" s="3"/>
      <c r="AE266" s="79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23"/>
    </row>
    <row r="267" spans="1:77" x14ac:dyDescent="0.2">
      <c r="A267" s="23"/>
      <c r="B267" s="3"/>
      <c r="C267" s="3"/>
      <c r="D267" s="3"/>
      <c r="E267" s="3"/>
      <c r="F267" s="3"/>
      <c r="G267" s="3"/>
      <c r="H267" s="31"/>
      <c r="I267" s="32"/>
      <c r="J267" s="32">
        <v>5</v>
      </c>
      <c r="K267" s="32"/>
      <c r="L267" s="32"/>
      <c r="M267" s="32"/>
      <c r="N267" s="32"/>
      <c r="O267" s="32"/>
      <c r="P267" s="32"/>
      <c r="Q267" s="8"/>
      <c r="R267" s="10"/>
      <c r="S267" s="73">
        <f>(N282*SIN((3.5*AP250*360/(2*PI()*N282))*PI()/180))*((N282*COS((3.5*AP250*360/(2*PI()*N282))*PI()/180))+AC268)/((N282*SIN((3.5*AP250*360/(2*PI()*N282))*PI()/180))+4*AI252)-(N282*COS((3.5*AP250*360/(2*PI()*N282))*PI()/180))+M262-S262-S264-S266</f>
        <v>9.7716888486835671</v>
      </c>
      <c r="T267" s="74"/>
      <c r="U267" s="32" t="s">
        <v>0</v>
      </c>
      <c r="V267" s="32"/>
      <c r="W267" s="32"/>
      <c r="X267" s="32"/>
      <c r="Y267" s="32">
        <v>17</v>
      </c>
      <c r="Z267" s="32"/>
      <c r="AA267" s="33"/>
      <c r="AB267" s="3"/>
      <c r="AC267" s="79"/>
      <c r="AD267" s="3"/>
      <c r="AE267" s="79">
        <f>+AC268+M262</f>
        <v>213.61726630737002</v>
      </c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T267" s="9"/>
      <c r="AU267" s="9"/>
      <c r="AV267" s="9"/>
      <c r="AW267" s="9"/>
      <c r="AX267" s="9"/>
      <c r="AY267" s="9"/>
      <c r="AZ267" s="9"/>
      <c r="BA267" s="9"/>
      <c r="BB267" s="9"/>
      <c r="BC267" s="23"/>
    </row>
    <row r="268" spans="1:77" x14ac:dyDescent="0.2">
      <c r="A268" s="23"/>
      <c r="B268" s="3"/>
      <c r="C268" s="3"/>
      <c r="D268" s="3"/>
      <c r="E268" s="3"/>
      <c r="F268" s="3"/>
      <c r="G268" s="3"/>
      <c r="H268" s="31"/>
      <c r="I268" s="32"/>
      <c r="J268" s="32"/>
      <c r="K268" s="32"/>
      <c r="L268" s="32"/>
      <c r="M268" s="32"/>
      <c r="N268" s="32"/>
      <c r="O268" s="32"/>
      <c r="P268" s="32"/>
      <c r="Q268" s="8"/>
      <c r="R268" s="10"/>
      <c r="S268" s="73">
        <f>+AC268+M262-S262-S264-S266-S267-S269-S271-S272-S274-S276-S277</f>
        <v>10.283454432758504</v>
      </c>
      <c r="T268" s="74"/>
      <c r="U268" s="32" t="s">
        <v>0</v>
      </c>
      <c r="V268" s="32"/>
      <c r="W268" s="32"/>
      <c r="X268" s="32"/>
      <c r="Y268" s="32"/>
      <c r="Z268" s="32"/>
      <c r="AA268" s="33"/>
      <c r="AB268" s="3"/>
      <c r="AC268" s="79">
        <f>(10.5*AP250)-(2*PI()*N282*90/360)</f>
        <v>201.11726630737002</v>
      </c>
      <c r="AD268" s="3"/>
      <c r="AE268" s="79"/>
      <c r="AF268" s="3"/>
      <c r="AG268" s="3"/>
      <c r="AH268" s="3"/>
      <c r="AI268" s="3"/>
      <c r="AJ268" s="3"/>
      <c r="AK268" s="3"/>
      <c r="AL268" s="3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23"/>
    </row>
    <row r="269" spans="1:77" x14ac:dyDescent="0.2">
      <c r="A269" s="23"/>
      <c r="B269" s="3"/>
      <c r="C269" s="3"/>
      <c r="D269" s="71">
        <f>4*AP250*(I282+N282+AI252*7)/(N282+AI252*7)-D272-D274-D277</f>
        <v>37.99397615783495</v>
      </c>
      <c r="E269" s="71"/>
      <c r="F269" s="3" t="s">
        <v>0</v>
      </c>
      <c r="G269" s="3"/>
      <c r="H269" s="31"/>
      <c r="I269" s="32"/>
      <c r="J269" s="32"/>
      <c r="K269" s="32"/>
      <c r="L269" s="32"/>
      <c r="M269" s="32"/>
      <c r="N269" s="32"/>
      <c r="O269" s="32"/>
      <c r="P269" s="32"/>
      <c r="Q269" s="8"/>
      <c r="R269" s="10"/>
      <c r="S269" s="73">
        <f>6*AP250-((D272+D269+D265+D262+D274+D277)-6*AP250)*N282/I282-S274-S272-S271-S276-S277</f>
        <v>14.750758011646752</v>
      </c>
      <c r="T269" s="74"/>
      <c r="U269" s="74" t="s">
        <v>0</v>
      </c>
      <c r="V269" s="32"/>
      <c r="W269" s="32"/>
      <c r="X269" s="32"/>
      <c r="Y269" s="32"/>
      <c r="Z269" s="32"/>
      <c r="AA269" s="33"/>
      <c r="AB269" s="3"/>
      <c r="AC269" s="79"/>
      <c r="AD269" s="3"/>
      <c r="AE269" s="79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23"/>
    </row>
    <row r="270" spans="1:77" x14ac:dyDescent="0.2">
      <c r="A270" s="23"/>
      <c r="B270" s="3"/>
      <c r="C270" s="3"/>
      <c r="D270" s="3"/>
      <c r="E270" s="3"/>
      <c r="F270" s="3"/>
      <c r="G270" s="3"/>
      <c r="H270" s="31"/>
      <c r="I270" s="32"/>
      <c r="J270" s="32">
        <v>4</v>
      </c>
      <c r="K270" s="32"/>
      <c r="L270" s="32"/>
      <c r="M270" s="32"/>
      <c r="N270" s="32"/>
      <c r="O270" s="32"/>
      <c r="P270" s="32"/>
      <c r="Q270" s="8"/>
      <c r="R270" s="10"/>
      <c r="S270" s="73"/>
      <c r="T270" s="74"/>
      <c r="U270" s="74"/>
      <c r="V270" s="32"/>
      <c r="W270" s="32"/>
      <c r="X270" s="32"/>
      <c r="Y270" s="32">
        <v>18</v>
      </c>
      <c r="Z270" s="32"/>
      <c r="AA270" s="33"/>
      <c r="AB270" s="3"/>
      <c r="AC270" s="79"/>
      <c r="AD270" s="3"/>
      <c r="AE270" s="3"/>
      <c r="AF270" s="3"/>
      <c r="AG270" s="3"/>
      <c r="AH270" s="3"/>
      <c r="AI270" s="3"/>
      <c r="AJ270" s="3"/>
      <c r="AK270" s="3"/>
      <c r="AL270" s="3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23"/>
    </row>
    <row r="271" spans="1:77" x14ac:dyDescent="0.2">
      <c r="A271" s="23"/>
      <c r="B271" s="3"/>
      <c r="C271" s="3"/>
      <c r="D271" s="3"/>
      <c r="E271" s="3"/>
      <c r="F271" s="3"/>
      <c r="G271" s="3"/>
      <c r="H271" s="31"/>
      <c r="I271" s="32"/>
      <c r="J271" s="32"/>
      <c r="K271" s="32"/>
      <c r="L271" s="32"/>
      <c r="M271" s="32"/>
      <c r="N271" s="32"/>
      <c r="O271" s="32"/>
      <c r="P271" s="32"/>
      <c r="Q271" s="8"/>
      <c r="R271" s="10"/>
      <c r="S271" s="73">
        <f>5*AP250-((D272+D269+D265+D274+D277)-5*AP250)*N282/I282-S274-S272-S276-S277</f>
        <v>18.020629386547746</v>
      </c>
      <c r="T271" s="74"/>
      <c r="U271" s="32" t="s">
        <v>0</v>
      </c>
      <c r="V271" s="32"/>
      <c r="W271" s="32"/>
      <c r="X271" s="32"/>
      <c r="Y271" s="32"/>
      <c r="Z271" s="32"/>
      <c r="AA271" s="3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5"/>
    </row>
    <row r="272" spans="1:77" x14ac:dyDescent="0.2">
      <c r="A272" s="23"/>
      <c r="B272" s="3"/>
      <c r="C272" s="3"/>
      <c r="D272" s="71">
        <f>3*AP250*(I282+N282+AI252*8)/(N282+AI252*8)-D274-D277</f>
        <v>36.58250071095901</v>
      </c>
      <c r="E272" s="71"/>
      <c r="F272" s="3" t="s">
        <v>0</v>
      </c>
      <c r="G272" s="3"/>
      <c r="H272" s="31"/>
      <c r="I272" s="32"/>
      <c r="J272" s="32"/>
      <c r="K272" s="32"/>
      <c r="L272" s="32"/>
      <c r="M272" s="32"/>
      <c r="N272" s="32"/>
      <c r="O272" s="32"/>
      <c r="P272" s="32"/>
      <c r="Q272" s="8"/>
      <c r="R272" s="10"/>
      <c r="S272" s="73">
        <f>4*AP250-((D272+D269+D274+D277)-4*AP250)*N282/I282-S274-S276-S277</f>
        <v>20.340612142616102</v>
      </c>
      <c r="T272" s="74"/>
      <c r="U272" s="74" t="s">
        <v>0</v>
      </c>
      <c r="V272" s="32"/>
      <c r="W272" s="32"/>
      <c r="X272" s="32"/>
      <c r="Y272" s="32"/>
      <c r="Z272" s="32"/>
      <c r="AA272" s="3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5"/>
    </row>
    <row r="273" spans="1:55" x14ac:dyDescent="0.2">
      <c r="A273" s="23"/>
      <c r="B273" s="3"/>
      <c r="C273" s="3"/>
      <c r="D273" s="3"/>
      <c r="E273" s="3"/>
      <c r="F273" s="3"/>
      <c r="G273" s="3"/>
      <c r="H273" s="31"/>
      <c r="I273" s="32"/>
      <c r="J273" s="32">
        <v>3</v>
      </c>
      <c r="K273" s="32"/>
      <c r="L273" s="32"/>
      <c r="M273" s="32"/>
      <c r="N273" s="32"/>
      <c r="O273" s="32"/>
      <c r="P273" s="32"/>
      <c r="Q273" s="8"/>
      <c r="R273" s="10"/>
      <c r="S273" s="73"/>
      <c r="T273" s="74"/>
      <c r="U273" s="74"/>
      <c r="V273" s="32"/>
      <c r="W273" s="32"/>
      <c r="X273" s="32"/>
      <c r="Y273" s="32">
        <v>19</v>
      </c>
      <c r="Z273" s="32"/>
      <c r="AA273" s="3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5"/>
    </row>
    <row r="274" spans="1:55" x14ac:dyDescent="0.2">
      <c r="A274" s="23"/>
      <c r="B274" s="3"/>
      <c r="D274" s="77">
        <f>2*AP250*(I282+N282+AI252*9)/(N282+AI252*9)-D277</f>
        <v>35.5145301708517</v>
      </c>
      <c r="E274" s="77"/>
      <c r="F274" s="77" t="s">
        <v>0</v>
      </c>
      <c r="H274" s="31"/>
      <c r="I274" s="32"/>
      <c r="J274" s="32"/>
      <c r="K274" s="32"/>
      <c r="L274" s="32"/>
      <c r="M274" s="32"/>
      <c r="N274" s="32"/>
      <c r="O274" s="32"/>
      <c r="P274" s="32"/>
      <c r="Q274" s="8"/>
      <c r="R274" s="10"/>
      <c r="S274" s="74">
        <f>3*AP250-((D274+D272+D277)-3*AP250)*N282/I282-S276-S277</f>
        <v>22.046144974257864</v>
      </c>
      <c r="T274" s="74"/>
      <c r="U274" s="32" t="s">
        <v>0</v>
      </c>
      <c r="V274" s="32"/>
      <c r="W274" s="32"/>
      <c r="X274" s="32"/>
      <c r="Y274" s="32"/>
      <c r="Z274" s="32"/>
      <c r="AA274" s="33"/>
      <c r="AG274" s="3"/>
      <c r="AH274" s="3"/>
      <c r="AX274" s="3"/>
      <c r="AY274" s="3"/>
      <c r="AZ274" s="3"/>
      <c r="BA274" s="3"/>
      <c r="BB274" s="3"/>
      <c r="BC274" s="5"/>
    </row>
    <row r="275" spans="1:55" x14ac:dyDescent="0.2">
      <c r="A275" s="23"/>
      <c r="B275" s="3"/>
      <c r="D275" s="77"/>
      <c r="E275" s="77"/>
      <c r="F275" s="77"/>
      <c r="H275" s="31"/>
      <c r="I275" s="32"/>
      <c r="J275" s="32">
        <v>2</v>
      </c>
      <c r="K275" s="32"/>
      <c r="L275" s="32"/>
      <c r="M275" s="32"/>
      <c r="N275" s="32"/>
      <c r="O275" s="32"/>
      <c r="P275" s="32"/>
      <c r="Q275" s="8"/>
      <c r="R275" s="10"/>
      <c r="S275" s="32"/>
      <c r="T275" s="32"/>
      <c r="U275" s="32"/>
      <c r="V275" s="32"/>
      <c r="W275" s="32"/>
      <c r="X275" s="32"/>
      <c r="Y275" s="32">
        <v>20</v>
      </c>
      <c r="Z275" s="32"/>
      <c r="AA275" s="33"/>
      <c r="AG275" s="3"/>
      <c r="AH275" s="3"/>
      <c r="AK275" s="3"/>
      <c r="AL275" s="3"/>
      <c r="AM275" s="3"/>
      <c r="AN275" s="3"/>
      <c r="AO275" s="3"/>
      <c r="AP275" s="3"/>
      <c r="AQ275" s="3"/>
      <c r="AX275" s="3"/>
      <c r="AY275" s="3"/>
      <c r="AZ275" s="3"/>
      <c r="BA275" s="3"/>
      <c r="BB275" s="3"/>
      <c r="BC275" s="5"/>
    </row>
    <row r="276" spans="1:55" x14ac:dyDescent="0.2">
      <c r="A276" s="23"/>
      <c r="B276" s="3"/>
      <c r="C276" s="3"/>
      <c r="D276" s="3"/>
      <c r="E276" s="3"/>
      <c r="F276" s="3"/>
      <c r="G276" s="3"/>
      <c r="H276" s="31"/>
      <c r="I276" s="32"/>
      <c r="J276" s="32"/>
      <c r="K276" s="32"/>
      <c r="L276" s="32"/>
      <c r="M276" s="32"/>
      <c r="N276" s="32"/>
      <c r="O276" s="32"/>
      <c r="P276" s="32"/>
      <c r="Q276" s="8"/>
      <c r="R276" s="10"/>
      <c r="S276" s="73">
        <f>2*AP250-((D277+D274)-2*AP250)*N282/I282-S277</f>
        <v>23.33660937688753</v>
      </c>
      <c r="T276" s="74"/>
      <c r="U276" s="32" t="s">
        <v>0</v>
      </c>
      <c r="V276" s="32"/>
      <c r="W276" s="32"/>
      <c r="X276" s="32"/>
      <c r="Y276" s="32"/>
      <c r="Z276" s="32"/>
      <c r="AA276" s="33"/>
      <c r="AB276" s="3"/>
      <c r="AC276" s="3"/>
      <c r="AD276" s="3"/>
      <c r="AE276" s="3"/>
      <c r="AF276" s="3"/>
      <c r="AG276" s="3"/>
      <c r="AH276" s="3"/>
      <c r="AX276" s="3"/>
      <c r="AY276" s="3"/>
      <c r="AZ276" s="3"/>
      <c r="BA276" s="3"/>
      <c r="BB276" s="3"/>
      <c r="BC276" s="5"/>
    </row>
    <row r="277" spans="1:55" x14ac:dyDescent="0.2">
      <c r="A277" s="23"/>
      <c r="B277" s="3"/>
      <c r="C277" s="3"/>
      <c r="D277" s="77">
        <f>1*AP250*(I282+N282+AI252*10)/(N282+AI252*10)</f>
        <v>34.686965024132405</v>
      </c>
      <c r="E277" s="77"/>
      <c r="F277" s="1" t="s">
        <v>0</v>
      </c>
      <c r="G277" s="3"/>
      <c r="H277" s="31"/>
      <c r="I277" s="32"/>
      <c r="J277" s="32">
        <v>1</v>
      </c>
      <c r="K277" s="32"/>
      <c r="L277" s="32"/>
      <c r="M277" s="32"/>
      <c r="N277" s="32"/>
      <c r="O277" s="32"/>
      <c r="P277" s="32"/>
      <c r="Q277" s="47"/>
      <c r="R277" s="48"/>
      <c r="S277" s="73">
        <f>AP250-(D277-AP250)*N282/I282</f>
        <v>24.336583929173344</v>
      </c>
      <c r="T277" s="74"/>
      <c r="U277" s="74" t="s">
        <v>0</v>
      </c>
      <c r="V277" s="32"/>
      <c r="W277" s="32"/>
      <c r="X277" s="32"/>
      <c r="Y277" s="32">
        <v>21</v>
      </c>
      <c r="Z277" s="32"/>
      <c r="AA277" s="33"/>
      <c r="AB277" s="3"/>
      <c r="AC277" s="3"/>
      <c r="AD277" s="3"/>
      <c r="AE277" s="3"/>
      <c r="AF277" s="3"/>
      <c r="AG277" s="3"/>
      <c r="AH277" s="3"/>
      <c r="AX277" s="3"/>
      <c r="AY277" s="3"/>
      <c r="AZ277" s="3"/>
      <c r="BA277" s="3"/>
      <c r="BB277" s="3"/>
      <c r="BC277" s="5"/>
    </row>
    <row r="278" spans="1:55" x14ac:dyDescent="0.2">
      <c r="A278" s="23"/>
      <c r="B278" s="3"/>
      <c r="C278" s="3"/>
      <c r="D278" s="3"/>
      <c r="E278" s="3"/>
      <c r="F278" s="3"/>
      <c r="G278" s="3"/>
      <c r="H278" s="35"/>
      <c r="I278" s="36"/>
      <c r="J278" s="36"/>
      <c r="K278" s="36"/>
      <c r="L278" s="36"/>
      <c r="M278" s="36"/>
      <c r="N278" s="36"/>
      <c r="O278" s="36"/>
      <c r="P278" s="36"/>
      <c r="Q278" s="49"/>
      <c r="R278" s="50"/>
      <c r="S278" s="75"/>
      <c r="T278" s="76"/>
      <c r="U278" s="76"/>
      <c r="V278" s="36"/>
      <c r="W278" s="36"/>
      <c r="X278" s="36"/>
      <c r="Y278" s="36"/>
      <c r="Z278" s="36"/>
      <c r="AA278" s="37"/>
      <c r="AB278" s="3"/>
      <c r="AC278" s="3"/>
      <c r="AD278" s="3"/>
      <c r="AE278" s="3"/>
      <c r="AF278" s="3"/>
      <c r="AG278" s="3"/>
      <c r="AH278" s="3"/>
      <c r="AK278" s="1" t="s">
        <v>9</v>
      </c>
      <c r="AM278" s="77">
        <f>+AP250</f>
        <v>30</v>
      </c>
      <c r="AN278" s="77"/>
      <c r="AO278" s="1" t="s">
        <v>0</v>
      </c>
      <c r="AX278" s="3"/>
      <c r="AY278" s="3"/>
      <c r="AZ278" s="3"/>
      <c r="BA278" s="3"/>
      <c r="BB278" s="3"/>
      <c r="BC278" s="5"/>
    </row>
    <row r="279" spans="1:55" x14ac:dyDescent="0.2">
      <c r="A279" s="2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X279" s="3"/>
      <c r="AY279" s="3"/>
      <c r="AZ279" s="3"/>
      <c r="BA279" s="3"/>
      <c r="BB279" s="3"/>
      <c r="BC279" s="5"/>
    </row>
    <row r="280" spans="1:55" x14ac:dyDescent="0.2">
      <c r="A280" s="23"/>
      <c r="B280" s="3"/>
      <c r="C280" s="3"/>
      <c r="D280" s="3"/>
      <c r="E280" s="3"/>
      <c r="F280" s="3"/>
      <c r="G280" s="3"/>
      <c r="H280" s="3"/>
      <c r="I280" s="3"/>
      <c r="J280" s="3"/>
      <c r="K280" s="78">
        <v>120</v>
      </c>
      <c r="L280" s="78"/>
      <c r="M280" s="3" t="s">
        <v>0</v>
      </c>
      <c r="N280" s="3"/>
      <c r="O280" s="3"/>
      <c r="P280" s="3"/>
      <c r="Q280" s="78">
        <v>25</v>
      </c>
      <c r="R280" s="78"/>
      <c r="S280" s="3" t="s">
        <v>0</v>
      </c>
      <c r="T280" s="3"/>
      <c r="U280" s="3"/>
      <c r="V280" s="71">
        <f>+K280</f>
        <v>120</v>
      </c>
      <c r="W280" s="71"/>
      <c r="X280" s="3" t="s">
        <v>0</v>
      </c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X280" s="3"/>
      <c r="AY280" s="3"/>
      <c r="AZ280" s="3"/>
      <c r="BA280" s="3"/>
      <c r="BB280" s="3"/>
      <c r="BC280" s="5"/>
    </row>
    <row r="281" spans="1:55" x14ac:dyDescent="0.2">
      <c r="A281" s="2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X281" s="3"/>
      <c r="AY281" s="3"/>
      <c r="AZ281" s="3"/>
      <c r="BA281" s="3"/>
      <c r="BB281" s="3"/>
      <c r="BC281" s="5"/>
    </row>
    <row r="282" spans="1:55" x14ac:dyDescent="0.2">
      <c r="A282" s="23"/>
      <c r="B282" s="3"/>
      <c r="C282" s="3"/>
      <c r="D282" s="3"/>
      <c r="E282" s="3"/>
      <c r="F282" s="3"/>
      <c r="G282" s="3"/>
      <c r="H282" s="3"/>
      <c r="I282" s="71">
        <f>+K280/2</f>
        <v>60</v>
      </c>
      <c r="J282" s="71"/>
      <c r="K282" s="3" t="s">
        <v>0</v>
      </c>
      <c r="L282" s="3"/>
      <c r="M282" s="3"/>
      <c r="N282" s="71">
        <f>+K280/2+Q280/2</f>
        <v>72.5</v>
      </c>
      <c r="O282" s="71"/>
      <c r="P282" s="3" t="s">
        <v>0</v>
      </c>
      <c r="Q282" s="3"/>
      <c r="R282" s="3"/>
      <c r="S282" s="3"/>
      <c r="T282" s="71">
        <f>+V280/2+Q280/2</f>
        <v>72.5</v>
      </c>
      <c r="U282" s="71"/>
      <c r="V282" s="3" t="s">
        <v>0</v>
      </c>
      <c r="W282" s="3"/>
      <c r="X282" s="3"/>
      <c r="Y282" s="71">
        <f>+V280/2</f>
        <v>60</v>
      </c>
      <c r="Z282" s="71"/>
      <c r="AA282" s="3" t="s">
        <v>0</v>
      </c>
      <c r="AB282" s="3"/>
      <c r="AC282" s="3"/>
      <c r="AD282" s="3"/>
      <c r="AE282" s="3"/>
      <c r="AF282" s="3"/>
      <c r="AG282" s="3"/>
      <c r="AH282" s="3"/>
      <c r="AK282" s="3" t="s">
        <v>21</v>
      </c>
      <c r="AQ282" s="26"/>
      <c r="AR282" s="26"/>
      <c r="AS282" s="25"/>
      <c r="AX282" s="3"/>
      <c r="AY282" s="3"/>
      <c r="AZ282" s="3"/>
      <c r="BA282" s="3"/>
      <c r="BB282" s="3"/>
      <c r="BC282" s="5"/>
    </row>
    <row r="283" spans="1:55" x14ac:dyDescent="0.2">
      <c r="A283" s="2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X283" s="3"/>
      <c r="AY283" s="3"/>
      <c r="AZ283" s="3"/>
      <c r="BA283" s="3"/>
      <c r="BB283" s="3"/>
      <c r="BC283" s="5"/>
    </row>
    <row r="284" spans="1:55" x14ac:dyDescent="0.2">
      <c r="A284" s="23"/>
      <c r="B284" s="3"/>
      <c r="C284" s="3"/>
      <c r="D284" s="3"/>
      <c r="E284" s="3"/>
      <c r="F284" s="3"/>
      <c r="G284" s="3"/>
      <c r="H284" s="3"/>
      <c r="I284" s="3"/>
      <c r="J284" s="3"/>
      <c r="K284" s="72">
        <f>+K280+Q280/2</f>
        <v>132.5</v>
      </c>
      <c r="L284" s="72"/>
      <c r="M284" s="72"/>
      <c r="N284" s="3" t="s">
        <v>0</v>
      </c>
      <c r="O284" s="3"/>
      <c r="P284" s="3"/>
      <c r="Q284" s="3"/>
      <c r="R284" s="3"/>
      <c r="S284" s="3"/>
      <c r="T284" s="3"/>
      <c r="U284" s="71">
        <f>+K284</f>
        <v>132.5</v>
      </c>
      <c r="V284" s="71"/>
      <c r="W284" s="71"/>
      <c r="X284" s="3" t="s">
        <v>0</v>
      </c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X284" s="3"/>
      <c r="AY284" s="3"/>
      <c r="AZ284" s="3"/>
      <c r="BA284" s="3"/>
      <c r="BB284" s="3"/>
      <c r="BC284" s="5"/>
    </row>
    <row r="285" spans="1:55" x14ac:dyDescent="0.2">
      <c r="A285" s="2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X285" s="3"/>
      <c r="AY285" s="3"/>
      <c r="AZ285" s="3"/>
      <c r="BA285" s="3"/>
      <c r="BB285" s="3"/>
      <c r="BC285" s="5"/>
    </row>
    <row r="286" spans="1:55" x14ac:dyDescent="0.2">
      <c r="A286" s="2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71">
        <f>+K280+Q280+V280</f>
        <v>265</v>
      </c>
      <c r="R286" s="71"/>
      <c r="S286" s="3" t="s">
        <v>0</v>
      </c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X286" s="3"/>
      <c r="AY286" s="3"/>
      <c r="AZ286" s="3"/>
      <c r="BA286" s="3"/>
      <c r="BB286" s="3"/>
      <c r="BC286" s="5"/>
    </row>
    <row r="287" spans="1:55" ht="12" thickBot="1" x14ac:dyDescent="0.25">
      <c r="A287" s="23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5"/>
    </row>
    <row r="288" spans="1:55" ht="12" thickBot="1" x14ac:dyDescent="0.25"/>
    <row r="289" spans="1:101" ht="48.75" customHeight="1" x14ac:dyDescent="0.2">
      <c r="A289" s="18"/>
      <c r="B289" s="89" t="s">
        <v>32</v>
      </c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6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</row>
    <row r="290" spans="1:101" x14ac:dyDescent="0.2">
      <c r="A290" s="5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16" t="s">
        <v>5</v>
      </c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18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</row>
    <row r="291" spans="1:101" x14ac:dyDescent="0.2">
      <c r="A291" s="5"/>
      <c r="B291" s="2"/>
      <c r="C291" s="3"/>
      <c r="D291" s="3"/>
      <c r="E291" s="3"/>
      <c r="F291" s="3"/>
      <c r="G291" s="3"/>
      <c r="H291" s="3"/>
      <c r="I291" s="3"/>
      <c r="J291" s="3"/>
      <c r="K291" s="71">
        <f>+K327</f>
        <v>132.5</v>
      </c>
      <c r="L291" s="71"/>
      <c r="M291" s="71"/>
      <c r="N291" s="3" t="s">
        <v>0</v>
      </c>
      <c r="O291" s="3"/>
      <c r="P291" s="3"/>
      <c r="Q291" s="3"/>
      <c r="R291" s="3"/>
      <c r="S291" s="3"/>
      <c r="T291" s="3"/>
      <c r="U291" s="71">
        <f>+K291</f>
        <v>132.5</v>
      </c>
      <c r="V291" s="71"/>
      <c r="W291" s="71"/>
      <c r="X291" s="3" t="s">
        <v>0</v>
      </c>
      <c r="Y291" s="3"/>
      <c r="Z291" s="16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5"/>
    </row>
    <row r="292" spans="1:101" x14ac:dyDescent="0.2">
      <c r="A292" s="5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5"/>
    </row>
    <row r="293" spans="1:101" x14ac:dyDescent="0.2">
      <c r="A293" s="5"/>
      <c r="B293" s="2"/>
      <c r="C293" s="3"/>
      <c r="D293" s="3"/>
      <c r="E293" s="3"/>
      <c r="F293" s="3"/>
      <c r="G293" s="3"/>
      <c r="H293" s="71">
        <f>+K291-K293-O293</f>
        <v>17.178132442421372</v>
      </c>
      <c r="I293" s="71"/>
      <c r="J293" s="3" t="s">
        <v>0</v>
      </c>
      <c r="K293" s="71">
        <f>(N325*SIN((2*AO293*360/(2*PI()*N325))*PI()/180))*((AC301-(N325*COS((2*AO293*360/(2*PI()*N325))*PI()/180)))+((N325*COS((2*AO293*360/(2*PI()*N325))*PI()/180))-M306+S306+S308))/((N325*COS((2*AO293*360/(2*PI()*N325))*PI()/180))-M306+S306+S308)-O293</f>
        <v>62.669835773372597</v>
      </c>
      <c r="L293" s="71"/>
      <c r="M293" s="3" t="s">
        <v>0</v>
      </c>
      <c r="N293" s="3"/>
      <c r="O293" s="71">
        <f>((N325*SIN((AO293*360/(2*PI()*N325))*PI()/180))-Q303)/((N325*COS((AO293*360/(2*PI()*N325))*PI()/180))-M306)*(I325+N325-(N325*COS((AO293*360/(2*PI()*N325))*PI()/180)))+(N325*SIN((AO293*360/(2*PI()*N325))*PI()/180))</f>
        <v>52.652031784206031</v>
      </c>
      <c r="P293" s="71"/>
      <c r="Q293" s="3" t="s">
        <v>0</v>
      </c>
      <c r="R293" s="3"/>
      <c r="S293" s="71">
        <f>+O293</f>
        <v>52.652031784206031</v>
      </c>
      <c r="T293" s="71"/>
      <c r="U293" s="3" t="s">
        <v>0</v>
      </c>
      <c r="V293" s="71">
        <f>+K293</f>
        <v>62.669835773372597</v>
      </c>
      <c r="W293" s="71"/>
      <c r="X293" s="3" t="s">
        <v>0</v>
      </c>
      <c r="Z293" s="71">
        <f>+H293</f>
        <v>17.178132442421372</v>
      </c>
      <c r="AA293" s="71"/>
      <c r="AB293" s="3" t="s">
        <v>0</v>
      </c>
      <c r="AC293" s="3"/>
      <c r="AD293" s="3"/>
      <c r="AE293" s="3"/>
      <c r="AF293" s="3"/>
      <c r="AG293" s="3"/>
      <c r="AH293" s="3" t="s">
        <v>1</v>
      </c>
      <c r="AI293" s="3"/>
      <c r="AJ293" s="3"/>
      <c r="AK293" s="3"/>
      <c r="AL293" s="3"/>
      <c r="AM293" s="3"/>
      <c r="AN293" s="3"/>
      <c r="AO293" s="78">
        <v>30</v>
      </c>
      <c r="AP293" s="78"/>
      <c r="AQ293" s="3" t="s">
        <v>0</v>
      </c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5"/>
      <c r="BG293" s="27" t="s">
        <v>22</v>
      </c>
    </row>
    <row r="294" spans="1:101" x14ac:dyDescent="0.2">
      <c r="A294" s="5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 t="s">
        <v>3</v>
      </c>
      <c r="AI294" s="3"/>
      <c r="AJ294" s="3"/>
      <c r="AK294" s="3"/>
      <c r="AL294" s="3"/>
      <c r="AM294" s="3"/>
      <c r="AN294" s="9">
        <v>20</v>
      </c>
      <c r="AO294" s="3" t="s">
        <v>4</v>
      </c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5"/>
      <c r="BG294" s="3" t="s">
        <v>18</v>
      </c>
      <c r="BH294" s="3"/>
      <c r="BI294" s="3"/>
      <c r="BJ294" s="3"/>
      <c r="BK294" s="3"/>
      <c r="BL294" s="78">
        <v>3.3</v>
      </c>
      <c r="BM294" s="78"/>
      <c r="BN294" s="3" t="s">
        <v>10</v>
      </c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</row>
    <row r="295" spans="1:101" x14ac:dyDescent="0.2">
      <c r="A295" s="5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82">
        <f>O293*(AC312+M306-S306)/(AC301-M306+S306)</f>
        <v>60.595249628617161</v>
      </c>
      <c r="AI295" s="82"/>
      <c r="AJ295" s="82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5"/>
      <c r="BG295" s="21" t="s">
        <v>6</v>
      </c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</row>
    <row r="296" spans="1:101" x14ac:dyDescent="0.2">
      <c r="A296" s="5"/>
      <c r="B296" s="2"/>
      <c r="C296" s="3"/>
      <c r="D296" s="3"/>
      <c r="E296" s="3"/>
      <c r="F296" s="3"/>
      <c r="G296" s="3"/>
      <c r="H296" s="28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30"/>
      <c r="AB296" s="3"/>
      <c r="AC296" s="3"/>
      <c r="AD296" s="3"/>
      <c r="AE296" s="3"/>
      <c r="AF296" s="3"/>
      <c r="AG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5"/>
      <c r="BG296" s="3" t="s">
        <v>7</v>
      </c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</row>
    <row r="297" spans="1:101" x14ac:dyDescent="0.2">
      <c r="A297" s="5"/>
      <c r="B297" s="2"/>
      <c r="C297" s="3"/>
      <c r="D297" s="71">
        <f>+C308-D301-D306-D310-D313-D316-D318-D320</f>
        <v>55.565045051810515</v>
      </c>
      <c r="E297" s="71"/>
      <c r="F297" s="3" t="s">
        <v>0</v>
      </c>
      <c r="G297" s="3"/>
      <c r="H297" s="31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3"/>
      <c r="AB297" s="3"/>
      <c r="AC297" s="3"/>
      <c r="AD297" s="3"/>
      <c r="AE297" s="3"/>
      <c r="AF297" s="3"/>
      <c r="AG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5"/>
      <c r="BG297" s="3" t="s">
        <v>8</v>
      </c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</row>
    <row r="298" spans="1:101" x14ac:dyDescent="0.2">
      <c r="A298" s="5"/>
      <c r="B298" s="2"/>
      <c r="C298" s="3"/>
      <c r="D298" s="3"/>
      <c r="E298" s="3"/>
      <c r="F298" s="3"/>
      <c r="G298" s="3"/>
      <c r="H298" s="31"/>
      <c r="I298" s="32"/>
      <c r="J298" s="32"/>
      <c r="K298" s="32"/>
      <c r="L298" s="32"/>
      <c r="M298" s="32"/>
      <c r="N298" s="32"/>
      <c r="O298" s="32"/>
      <c r="P298" s="32">
        <v>10</v>
      </c>
      <c r="Q298" s="32"/>
      <c r="R298" s="32"/>
      <c r="S298" s="32">
        <v>11</v>
      </c>
      <c r="T298" s="32"/>
      <c r="U298" s="32"/>
      <c r="V298" s="32">
        <v>12</v>
      </c>
      <c r="W298" s="32"/>
      <c r="X298" s="32"/>
      <c r="Y298" s="32"/>
      <c r="Z298" s="32"/>
      <c r="AA298" s="33"/>
      <c r="AB298" s="3"/>
      <c r="AC298" s="3"/>
      <c r="AD298" s="3"/>
      <c r="AE298" s="3"/>
      <c r="AF298" s="3"/>
      <c r="AG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5"/>
      <c r="BG298" s="3" t="s">
        <v>9</v>
      </c>
      <c r="BH298" s="3"/>
      <c r="BI298" s="71">
        <f>0.63-2*BI299</f>
        <v>0.30000000000000004</v>
      </c>
      <c r="BJ298" s="71"/>
      <c r="BK298" s="71"/>
      <c r="BL298" s="3" t="s">
        <v>10</v>
      </c>
      <c r="BM298" s="3" t="s">
        <v>11</v>
      </c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</row>
    <row r="299" spans="1:101" x14ac:dyDescent="0.2">
      <c r="A299" s="5"/>
      <c r="B299" s="2"/>
      <c r="C299" s="3"/>
      <c r="D299" s="3"/>
      <c r="E299" s="3"/>
      <c r="F299" s="3"/>
      <c r="G299" s="3"/>
      <c r="H299" s="31"/>
      <c r="I299" s="32"/>
      <c r="J299" s="32"/>
      <c r="K299" s="32"/>
      <c r="L299" s="32"/>
      <c r="M299" s="32">
        <v>9</v>
      </c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3"/>
      <c r="AB299" s="3"/>
      <c r="AC299" s="79" t="s">
        <v>0</v>
      </c>
      <c r="AD299" s="3"/>
      <c r="AE299" s="79" t="s">
        <v>0</v>
      </c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5"/>
      <c r="BG299" s="3" t="s">
        <v>12</v>
      </c>
      <c r="BH299" s="3"/>
      <c r="BI299" s="71">
        <f>BL294/BL300</f>
        <v>0.16499999999999998</v>
      </c>
      <c r="BJ299" s="71"/>
      <c r="BK299" s="71"/>
      <c r="BL299" s="3" t="s">
        <v>10</v>
      </c>
      <c r="BM299" s="3" t="s">
        <v>13</v>
      </c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</row>
    <row r="300" spans="1:101" x14ac:dyDescent="0.2">
      <c r="A300" s="5"/>
      <c r="B300" s="2"/>
      <c r="C300" s="3"/>
      <c r="D300" s="3"/>
      <c r="E300" s="3"/>
      <c r="F300" s="3"/>
      <c r="G300" s="3"/>
      <c r="H300" s="31"/>
      <c r="I300" s="32"/>
      <c r="J300" s="32"/>
      <c r="K300" s="32">
        <v>8</v>
      </c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>
        <v>13</v>
      </c>
      <c r="Y300" s="32"/>
      <c r="Z300" s="32"/>
      <c r="AA300" s="33"/>
      <c r="AB300" s="3"/>
      <c r="AC300" s="79"/>
      <c r="AD300" s="3"/>
      <c r="AE300" s="79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5"/>
      <c r="BG300" s="3" t="s">
        <v>14</v>
      </c>
      <c r="BH300" s="3"/>
      <c r="BI300" s="3"/>
      <c r="BJ300" s="3"/>
      <c r="BK300" s="3"/>
      <c r="BL300" s="72">
        <v>20</v>
      </c>
      <c r="BM300" s="72"/>
      <c r="BN300" s="3" t="s">
        <v>4</v>
      </c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</row>
    <row r="301" spans="1:101" x14ac:dyDescent="0.2">
      <c r="A301" s="5"/>
      <c r="B301" s="2"/>
      <c r="C301" s="3"/>
      <c r="D301" s="71">
        <f>((S311+S312+S313+S315+S316+S318+S320)*(K327+3*AH295)/(3*AH295))-((S312+S313+S315+S316+S318+S320)*(K327+4*AH295)/(4*AH295))</f>
        <v>48.753549532109218</v>
      </c>
      <c r="E301" s="71"/>
      <c r="F301" s="3" t="s">
        <v>0</v>
      </c>
      <c r="G301" s="3"/>
      <c r="H301" s="31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3"/>
      <c r="AB301" s="3"/>
      <c r="AC301" s="79">
        <f>+K323+Q323/2</f>
        <v>132.5</v>
      </c>
      <c r="AD301" s="3"/>
      <c r="AE301" s="79">
        <f>+C308-AE311</f>
        <v>120</v>
      </c>
      <c r="AF301" s="3"/>
      <c r="AG301" s="3"/>
      <c r="AH301" s="3"/>
      <c r="AI301" s="3"/>
      <c r="AJ301" s="3"/>
      <c r="AK301" s="3"/>
      <c r="AL301" s="3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23"/>
      <c r="BG301" s="3">
        <v>2</v>
      </c>
      <c r="BH301" s="41" t="s">
        <v>15</v>
      </c>
      <c r="BI301" s="71">
        <f>+BI299</f>
        <v>0.16499999999999998</v>
      </c>
      <c r="BJ301" s="71"/>
      <c r="BK301" s="71"/>
      <c r="BL301" s="41" t="s">
        <v>16</v>
      </c>
      <c r="BM301" s="71">
        <f>+BI298</f>
        <v>0.30000000000000004</v>
      </c>
      <c r="BN301" s="71"/>
      <c r="BO301" s="71"/>
      <c r="BP301" s="41" t="s">
        <v>17</v>
      </c>
      <c r="BQ301" s="71">
        <f>+BG301*BI301+BM301</f>
        <v>0.63</v>
      </c>
      <c r="BR301" s="71"/>
      <c r="BS301" s="71"/>
      <c r="BT301" s="3" t="s">
        <v>10</v>
      </c>
      <c r="BU301" s="3"/>
      <c r="BV301" s="16" t="str">
        <f>IF(BQ301=0.63,"uygun.","uygun değil.")</f>
        <v>uygun.</v>
      </c>
      <c r="BW301" s="3"/>
      <c r="BX301" s="3"/>
      <c r="BY301" s="3"/>
    </row>
    <row r="302" spans="1:101" x14ac:dyDescent="0.2">
      <c r="A302" s="5"/>
      <c r="B302" s="2"/>
      <c r="C302" s="3"/>
      <c r="D302" s="3"/>
      <c r="E302" s="3"/>
      <c r="F302" s="3"/>
      <c r="G302" s="3"/>
      <c r="H302" s="31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3"/>
      <c r="AB302" s="3"/>
      <c r="AC302" s="79"/>
      <c r="AD302" s="3"/>
      <c r="AE302" s="79"/>
      <c r="AF302" s="3"/>
      <c r="AG302" s="3"/>
      <c r="AH302" s="3"/>
      <c r="AI302" s="3"/>
      <c r="AJ302" s="3"/>
      <c r="AK302" s="3"/>
      <c r="AL302" s="3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23"/>
    </row>
    <row r="303" spans="1:101" x14ac:dyDescent="0.2">
      <c r="A303" s="5"/>
      <c r="B303" s="2"/>
      <c r="C303" s="3"/>
      <c r="D303" s="3"/>
      <c r="E303" s="3"/>
      <c r="F303" s="3"/>
      <c r="G303" s="3"/>
      <c r="H303" s="31"/>
      <c r="I303" s="32"/>
      <c r="J303" s="32"/>
      <c r="K303" s="32"/>
      <c r="L303" s="32"/>
      <c r="M303" s="32"/>
      <c r="N303" s="32"/>
      <c r="O303" s="32"/>
      <c r="P303" s="32"/>
      <c r="Q303" s="20">
        <v>10</v>
      </c>
      <c r="R303" s="32" t="s">
        <v>0</v>
      </c>
      <c r="S303" s="32"/>
      <c r="T303" s="32"/>
      <c r="U303" s="32"/>
      <c r="V303" s="32"/>
      <c r="W303" s="32"/>
      <c r="X303" s="32"/>
      <c r="Y303" s="32"/>
      <c r="Z303" s="32"/>
      <c r="AA303" s="33"/>
      <c r="AB303" s="3"/>
      <c r="AC303" s="79"/>
      <c r="AD303" s="3"/>
      <c r="AE303" s="79"/>
      <c r="AF303" s="3"/>
      <c r="AG303" s="3"/>
      <c r="AH303" s="3"/>
      <c r="AI303" s="3"/>
      <c r="AJ303" s="3"/>
      <c r="AK303" s="3"/>
      <c r="AL303" s="3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23"/>
    </row>
    <row r="304" spans="1:101" x14ac:dyDescent="0.2">
      <c r="A304" s="5"/>
      <c r="B304" s="2"/>
      <c r="C304" s="3"/>
      <c r="D304" s="3"/>
      <c r="E304" s="3"/>
      <c r="F304" s="3"/>
      <c r="G304" s="3"/>
      <c r="H304" s="31"/>
      <c r="I304" s="32"/>
      <c r="J304" s="32">
        <v>7</v>
      </c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>
        <v>14</v>
      </c>
      <c r="Z304" s="32"/>
      <c r="AA304" s="3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23"/>
      <c r="BG304" s="1" t="s">
        <v>19</v>
      </c>
    </row>
    <row r="305" spans="1:59" x14ac:dyDescent="0.2">
      <c r="A305" s="5"/>
      <c r="B305" s="2"/>
      <c r="C305" s="3"/>
      <c r="D305" s="3"/>
      <c r="E305" s="3"/>
      <c r="F305" s="3"/>
      <c r="G305" s="3"/>
      <c r="H305" s="31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23"/>
      <c r="BG305" s="4" t="s">
        <v>2</v>
      </c>
    </row>
    <row r="306" spans="1:59" x14ac:dyDescent="0.2">
      <c r="A306" s="5"/>
      <c r="B306" s="2"/>
      <c r="C306" s="79" t="s">
        <v>0</v>
      </c>
      <c r="D306" s="71">
        <f>6*AO293*(I325+N325+AH295*4)/(N325+AH295*4)-D318-D316-D313-D310-D320</f>
        <v>40.32911294440791</v>
      </c>
      <c r="E306" s="71"/>
      <c r="F306" s="3" t="s">
        <v>0</v>
      </c>
      <c r="G306" s="3"/>
      <c r="H306" s="31"/>
      <c r="I306" s="32"/>
      <c r="J306" s="32"/>
      <c r="K306" s="32"/>
      <c r="L306" s="32"/>
      <c r="M306" s="74">
        <f>+Q323/2</f>
        <v>12.5</v>
      </c>
      <c r="N306" s="74"/>
      <c r="O306" s="32"/>
      <c r="P306" s="32"/>
      <c r="Q306" s="6"/>
      <c r="R306" s="7"/>
      <c r="S306" s="80">
        <f>((N325*COS((AO293*360/(2*PI()*N325))*PI()/180))-M306)*Q303/((N325*SIN((AO293*360/(2*PI()*N325))*PI()/180))-Q303)</f>
        <v>28.134650327358091</v>
      </c>
      <c r="T306" s="81"/>
      <c r="U306" s="74" t="s">
        <v>0</v>
      </c>
      <c r="V306" s="32"/>
      <c r="W306" s="32"/>
      <c r="X306" s="32"/>
      <c r="Y306" s="32"/>
      <c r="Z306" s="32"/>
      <c r="AA306" s="3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23"/>
    </row>
    <row r="307" spans="1:59" x14ac:dyDescent="0.2">
      <c r="A307" s="5"/>
      <c r="B307" s="2"/>
      <c r="C307" s="79"/>
      <c r="D307" s="3"/>
      <c r="E307" s="3"/>
      <c r="F307" s="3"/>
      <c r="G307" s="3"/>
      <c r="H307" s="31"/>
      <c r="I307" s="32"/>
      <c r="J307" s="32"/>
      <c r="K307" s="32"/>
      <c r="L307" s="32"/>
      <c r="M307" s="32"/>
      <c r="N307" s="32"/>
      <c r="O307" s="32"/>
      <c r="P307" s="32"/>
      <c r="Q307" s="8"/>
      <c r="R307" s="10"/>
      <c r="S307" s="80"/>
      <c r="T307" s="81"/>
      <c r="U307" s="74"/>
      <c r="V307" s="32"/>
      <c r="W307" s="32"/>
      <c r="X307" s="32"/>
      <c r="Y307" s="32"/>
      <c r="Z307" s="32"/>
      <c r="AA307" s="3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23"/>
      <c r="BG307" s="1" t="s">
        <v>20</v>
      </c>
    </row>
    <row r="308" spans="1:59" x14ac:dyDescent="0.2">
      <c r="A308" s="5"/>
      <c r="B308" s="2"/>
      <c r="C308" s="79">
        <f>+AC301+AC312</f>
        <v>318.61726630737002</v>
      </c>
      <c r="D308" s="3"/>
      <c r="E308" s="3"/>
      <c r="F308" s="3"/>
      <c r="G308" s="3"/>
      <c r="H308" s="31"/>
      <c r="I308" s="32"/>
      <c r="J308" s="32">
        <v>6</v>
      </c>
      <c r="K308" s="32"/>
      <c r="L308" s="32"/>
      <c r="M308" s="32"/>
      <c r="N308" s="32"/>
      <c r="O308" s="32"/>
      <c r="P308" s="32"/>
      <c r="Q308" s="8"/>
      <c r="R308" s="10"/>
      <c r="S308" s="73">
        <f>(N325*SIN((2*AO293*360/(2*PI()*N325))*PI()/180))*((N325*COS((2*AO293*360/(2*PI()*N325))*PI()/180))+AC312)/((N325*SIN((2*AO293*360/(2*PI()*N325))*PI()/180))+2*AH295)-(N325*COS((2*AO293*360/(2*PI()*N325))*PI()/180))+M306-S306</f>
        <v>7.2210238028921303</v>
      </c>
      <c r="T308" s="74"/>
      <c r="U308" s="74" t="s">
        <v>0</v>
      </c>
      <c r="V308" s="32"/>
      <c r="W308" s="32"/>
      <c r="X308" s="32"/>
      <c r="Y308" s="32">
        <v>15</v>
      </c>
      <c r="Z308" s="32"/>
      <c r="AA308" s="3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23"/>
    </row>
    <row r="309" spans="1:59" x14ac:dyDescent="0.2">
      <c r="A309" s="5"/>
      <c r="B309" s="2"/>
      <c r="C309" s="79"/>
      <c r="D309" s="3"/>
      <c r="E309" s="3"/>
      <c r="F309" s="3"/>
      <c r="G309" s="3"/>
      <c r="H309" s="31"/>
      <c r="I309" s="32"/>
      <c r="J309" s="32"/>
      <c r="K309" s="32"/>
      <c r="L309" s="32"/>
      <c r="M309" s="32"/>
      <c r="N309" s="32"/>
      <c r="O309" s="32"/>
      <c r="P309" s="32"/>
      <c r="Q309" s="8"/>
      <c r="R309" s="10"/>
      <c r="S309" s="73"/>
      <c r="T309" s="74"/>
      <c r="U309" s="74"/>
      <c r="V309" s="32"/>
      <c r="W309" s="32"/>
      <c r="X309" s="32"/>
      <c r="Y309" s="32"/>
      <c r="Z309" s="32"/>
      <c r="AA309" s="33"/>
      <c r="AB309" s="3"/>
      <c r="AC309" s="3"/>
      <c r="AD309" s="3"/>
      <c r="AE309" s="79" t="s">
        <v>0</v>
      </c>
      <c r="AF309" s="3"/>
      <c r="AG309" s="3"/>
      <c r="AH309" s="3"/>
      <c r="AI309" s="3"/>
      <c r="AJ309" s="3"/>
      <c r="AK309" s="3"/>
      <c r="AL309" s="3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23"/>
    </row>
    <row r="310" spans="1:59" x14ac:dyDescent="0.2">
      <c r="A310" s="5"/>
      <c r="B310" s="2"/>
      <c r="C310" s="79"/>
      <c r="D310" s="71">
        <f>5*AO293*(I325+N325+AH295*5)/(N325+AH295*5)-D318-D316-D313-D320</f>
        <v>37.4585048881288</v>
      </c>
      <c r="E310" s="71"/>
      <c r="F310" s="3" t="s">
        <v>0</v>
      </c>
      <c r="G310" s="3"/>
      <c r="H310" s="31"/>
      <c r="I310" s="32"/>
      <c r="J310" s="32"/>
      <c r="K310" s="32"/>
      <c r="L310" s="32"/>
      <c r="M310" s="32"/>
      <c r="N310" s="32"/>
      <c r="O310" s="32"/>
      <c r="P310" s="32"/>
      <c r="Q310" s="8"/>
      <c r="R310" s="10"/>
      <c r="S310" s="73">
        <f>(N325*SIN((3*AO293*360/(2*PI()*N325))*PI()/180))*((N325*COS((3*AO293*360/(2*PI()*N325))*PI()/180))+AC312)/((N325*SIN((3*AO293*360/(2*PI()*N325))*PI()/180))+3*AH295)-(N325*COS((3*AO293*360/(2*PI()*N325))*PI()/180))-S308+M306-S306</f>
        <v>11.109783809898939</v>
      </c>
      <c r="T310" s="74"/>
      <c r="U310" s="32" t="s">
        <v>0</v>
      </c>
      <c r="V310" s="32"/>
      <c r="W310" s="32"/>
      <c r="X310" s="32"/>
      <c r="Y310" s="32"/>
      <c r="Z310" s="32"/>
      <c r="AA310" s="33"/>
      <c r="AB310" s="3"/>
      <c r="AC310" s="79" t="s">
        <v>0</v>
      </c>
      <c r="AD310" s="3"/>
      <c r="AE310" s="79"/>
      <c r="AF310" s="3"/>
      <c r="AG310" s="3"/>
      <c r="AH310" s="3"/>
      <c r="AI310" s="3"/>
      <c r="AJ310" s="3"/>
      <c r="AK310" s="3"/>
      <c r="AL310" s="3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23"/>
    </row>
    <row r="311" spans="1:59" x14ac:dyDescent="0.2">
      <c r="A311" s="5"/>
      <c r="B311" s="2"/>
      <c r="C311" s="3"/>
      <c r="D311" s="3"/>
      <c r="E311" s="3"/>
      <c r="F311" s="3"/>
      <c r="G311" s="3"/>
      <c r="H311" s="31"/>
      <c r="I311" s="32"/>
      <c r="J311" s="32">
        <v>5</v>
      </c>
      <c r="K311" s="32"/>
      <c r="L311" s="32"/>
      <c r="M311" s="32"/>
      <c r="N311" s="32"/>
      <c r="O311" s="32"/>
      <c r="P311" s="32"/>
      <c r="Q311" s="8"/>
      <c r="R311" s="10"/>
      <c r="S311" s="73">
        <f>+AC312+M306-S306-S308-S310-S312-S313-S315-S316-S318-S320</f>
        <v>13.596036699723324</v>
      </c>
      <c r="T311" s="74"/>
      <c r="U311" s="32" t="s">
        <v>0</v>
      </c>
      <c r="V311" s="32"/>
      <c r="W311" s="32"/>
      <c r="X311" s="32"/>
      <c r="Y311" s="32">
        <v>16</v>
      </c>
      <c r="Z311" s="32"/>
      <c r="AA311" s="33"/>
      <c r="AB311" s="3"/>
      <c r="AC311" s="79"/>
      <c r="AD311" s="3"/>
      <c r="AE311" s="79">
        <f>+AC312+M306</f>
        <v>198.61726630737002</v>
      </c>
      <c r="AF311" s="3"/>
      <c r="AG311" s="3"/>
      <c r="AH311" s="3"/>
      <c r="AI311" s="3"/>
      <c r="AJ311" s="3"/>
      <c r="AK311" s="3"/>
      <c r="AL311" s="3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23"/>
    </row>
    <row r="312" spans="1:59" x14ac:dyDescent="0.2">
      <c r="A312" s="5"/>
      <c r="B312" s="2"/>
      <c r="C312" s="3"/>
      <c r="D312" s="3"/>
      <c r="E312" s="3"/>
      <c r="F312" s="3"/>
      <c r="G312" s="3"/>
      <c r="H312" s="31"/>
      <c r="I312" s="32"/>
      <c r="J312" s="32"/>
      <c r="K312" s="32"/>
      <c r="L312" s="32"/>
      <c r="M312" s="32"/>
      <c r="N312" s="32"/>
      <c r="O312" s="32"/>
      <c r="P312" s="32"/>
      <c r="Q312" s="8"/>
      <c r="R312" s="10"/>
      <c r="S312" s="73">
        <f>6*AO293-((D318+D316+D313+D310+D306+D320)-6*AO293)*N325/I325-S318-S316-S315-S313-S320</f>
        <v>17.518988525507122</v>
      </c>
      <c r="T312" s="74"/>
      <c r="U312" s="32" t="s">
        <v>0</v>
      </c>
      <c r="V312" s="32"/>
      <c r="W312" s="32"/>
      <c r="X312" s="32"/>
      <c r="Y312" s="32"/>
      <c r="Z312" s="32"/>
      <c r="AA312" s="33"/>
      <c r="AB312" s="3"/>
      <c r="AC312" s="79">
        <f>(10*AO293)-(2*PI()*N325*90/360)</f>
        <v>186.11726630737002</v>
      </c>
      <c r="AD312" s="3"/>
      <c r="AE312" s="79"/>
      <c r="AF312" s="3"/>
      <c r="AG312" s="3"/>
      <c r="AH312" s="3"/>
      <c r="AI312" s="3"/>
      <c r="AJ312" s="3"/>
      <c r="AK312" s="3"/>
      <c r="AL312" s="3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23"/>
    </row>
    <row r="313" spans="1:59" x14ac:dyDescent="0.2">
      <c r="A313" s="5"/>
      <c r="B313" s="2"/>
      <c r="C313" s="3"/>
      <c r="D313" s="71">
        <f>4*AO293*(I325+N325+AH295*6)/(N325+AH295*6)-D318-D316-D320</f>
        <v>35.638572436769593</v>
      </c>
      <c r="E313" s="71"/>
      <c r="F313" s="3" t="s">
        <v>0</v>
      </c>
      <c r="G313" s="3"/>
      <c r="H313" s="31"/>
      <c r="I313" s="32"/>
      <c r="J313" s="32">
        <v>4</v>
      </c>
      <c r="K313" s="32"/>
      <c r="L313" s="32"/>
      <c r="M313" s="32"/>
      <c r="N313" s="32"/>
      <c r="O313" s="32"/>
      <c r="P313" s="32"/>
      <c r="Q313" s="8"/>
      <c r="R313" s="10"/>
      <c r="S313" s="73">
        <f>5*AO293-((D318+D316+D313+D310+D320)-5*AO293)*N325/I325-S318-S316-S315-S320</f>
        <v>20.98763992684432</v>
      </c>
      <c r="T313" s="74"/>
      <c r="U313" s="74" t="s">
        <v>0</v>
      </c>
      <c r="V313" s="32"/>
      <c r="W313" s="32"/>
      <c r="X313" s="32"/>
      <c r="Y313" s="32">
        <v>17</v>
      </c>
      <c r="Z313" s="32"/>
      <c r="AA313" s="33"/>
      <c r="AB313" s="3"/>
      <c r="AC313" s="79"/>
      <c r="AD313" s="3"/>
      <c r="AE313" s="79"/>
      <c r="AF313" s="3"/>
      <c r="AG313" s="3"/>
      <c r="AH313" s="3"/>
      <c r="AI313" s="3"/>
      <c r="AJ313" s="3"/>
      <c r="AK313" s="3"/>
      <c r="AL313" s="3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23"/>
    </row>
    <row r="314" spans="1:59" x14ac:dyDescent="0.2">
      <c r="A314" s="5"/>
      <c r="B314" s="2"/>
      <c r="C314" s="3"/>
      <c r="D314" s="3"/>
      <c r="E314" s="3"/>
      <c r="F314" s="3"/>
      <c r="G314" s="3"/>
      <c r="H314" s="31"/>
      <c r="I314" s="32"/>
      <c r="J314" s="32"/>
      <c r="K314" s="32"/>
      <c r="L314" s="32"/>
      <c r="M314" s="32"/>
      <c r="N314" s="32"/>
      <c r="O314" s="32"/>
      <c r="P314" s="32"/>
      <c r="Q314" s="8"/>
      <c r="R314" s="10"/>
      <c r="S314" s="73"/>
      <c r="T314" s="74"/>
      <c r="U314" s="74"/>
      <c r="V314" s="32"/>
      <c r="W314" s="32"/>
      <c r="X314" s="32"/>
      <c r="Y314" s="32"/>
      <c r="Z314" s="32"/>
      <c r="AA314" s="33"/>
      <c r="AB314" s="3"/>
      <c r="AC314" s="79"/>
      <c r="AD314" s="3"/>
      <c r="AE314" s="3"/>
      <c r="AF314" s="3"/>
      <c r="AG314" s="3"/>
      <c r="AH314" s="3"/>
      <c r="AI314" s="3"/>
      <c r="AJ314" s="3"/>
      <c r="AK314" s="3"/>
      <c r="AL314" s="3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23"/>
    </row>
    <row r="315" spans="1:59" x14ac:dyDescent="0.2">
      <c r="A315" s="5"/>
      <c r="B315" s="2"/>
      <c r="C315" s="3"/>
      <c r="D315" s="3"/>
      <c r="E315" s="3"/>
      <c r="F315" s="3"/>
      <c r="G315" s="3"/>
      <c r="H315" s="31"/>
      <c r="I315" s="32"/>
      <c r="J315" s="32"/>
      <c r="K315" s="32"/>
      <c r="L315" s="32"/>
      <c r="M315" s="32"/>
      <c r="N315" s="32"/>
      <c r="O315" s="32"/>
      <c r="P315" s="32"/>
      <c r="Q315" s="8"/>
      <c r="R315" s="10"/>
      <c r="S315" s="73">
        <f>4*AO293-((D318+D316+D313+D320)-4*AO293)*N325/I325-S318-S316-S320</f>
        <v>23.186724972236743</v>
      </c>
      <c r="T315" s="74"/>
      <c r="U315" s="32" t="s">
        <v>0</v>
      </c>
      <c r="V315" s="32"/>
      <c r="W315" s="32"/>
      <c r="X315" s="32"/>
      <c r="Y315" s="32"/>
      <c r="Z315" s="32"/>
      <c r="AA315" s="3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5"/>
    </row>
    <row r="316" spans="1:59" x14ac:dyDescent="0.2">
      <c r="A316" s="5"/>
      <c r="B316" s="2"/>
      <c r="C316" s="3"/>
      <c r="D316" s="71">
        <f>3*AO293*(I325+N325+AH295*7)/(N325+AH295*7)-D318-D320</f>
        <v>34.412324437886781</v>
      </c>
      <c r="E316" s="71"/>
      <c r="F316" s="3" t="s">
        <v>0</v>
      </c>
      <c r="G316" s="3"/>
      <c r="H316" s="31"/>
      <c r="I316" s="32"/>
      <c r="J316" s="32">
        <v>3</v>
      </c>
      <c r="K316" s="32"/>
      <c r="L316" s="32"/>
      <c r="M316" s="32"/>
      <c r="N316" s="32"/>
      <c r="O316" s="32"/>
      <c r="P316" s="32"/>
      <c r="Q316" s="8"/>
      <c r="R316" s="10"/>
      <c r="S316" s="73">
        <f>3*AO293-((D318+D316+D320)-3*AO293)*N325/I325-S318-S320</f>
        <v>24.668441304220135</v>
      </c>
      <c r="T316" s="74"/>
      <c r="U316" s="74" t="s">
        <v>0</v>
      </c>
      <c r="V316" s="32"/>
      <c r="W316" s="32"/>
      <c r="X316" s="32"/>
      <c r="Y316" s="32">
        <v>18</v>
      </c>
      <c r="Z316" s="32"/>
      <c r="AA316" s="3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5"/>
    </row>
    <row r="317" spans="1:59" x14ac:dyDescent="0.2">
      <c r="A317" s="5"/>
      <c r="B317" s="2"/>
      <c r="C317" s="3"/>
      <c r="D317" s="3"/>
      <c r="E317" s="3"/>
      <c r="F317" s="3"/>
      <c r="G317" s="3"/>
      <c r="H317" s="31"/>
      <c r="I317" s="32"/>
      <c r="J317" s="32"/>
      <c r="K317" s="32"/>
      <c r="L317" s="32"/>
      <c r="M317" s="32"/>
      <c r="N317" s="32"/>
      <c r="O317" s="32"/>
      <c r="P317" s="32"/>
      <c r="Q317" s="8"/>
      <c r="R317" s="10"/>
      <c r="S317" s="73"/>
      <c r="T317" s="74"/>
      <c r="U317" s="74"/>
      <c r="V317" s="32"/>
      <c r="W317" s="32"/>
      <c r="X317" s="32"/>
      <c r="Y317" s="32"/>
      <c r="Z317" s="32"/>
      <c r="AA317" s="3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5"/>
    </row>
    <row r="318" spans="1:59" x14ac:dyDescent="0.2">
      <c r="A318" s="5"/>
      <c r="B318" s="2"/>
      <c r="C318" s="3"/>
      <c r="D318" s="71">
        <f>2*AO293*(I325+N325+AH295*8)/(N325+AH295*8)-D320</f>
        <v>33.546862708004738</v>
      </c>
      <c r="E318" s="71"/>
      <c r="F318" s="3" t="s">
        <v>0</v>
      </c>
      <c r="G318" s="3"/>
      <c r="H318" s="31"/>
      <c r="I318" s="32"/>
      <c r="J318" s="32">
        <v>2</v>
      </c>
      <c r="K318" s="32"/>
      <c r="L318" s="32"/>
      <c r="M318" s="32"/>
      <c r="N318" s="32"/>
      <c r="O318" s="32"/>
      <c r="P318" s="32"/>
      <c r="Q318" s="8"/>
      <c r="R318" s="10"/>
      <c r="S318" s="73">
        <f>2*AO293-((D318+D320)-2*AO293)*N325/I325-S320</f>
        <v>25.714207561160944</v>
      </c>
      <c r="T318" s="74"/>
      <c r="U318" s="74" t="s">
        <v>0</v>
      </c>
      <c r="V318" s="32"/>
      <c r="W318" s="32"/>
      <c r="X318" s="32"/>
      <c r="Y318" s="32">
        <v>19</v>
      </c>
      <c r="Z318" s="32"/>
      <c r="AA318" s="3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5"/>
    </row>
    <row r="319" spans="1:59" x14ac:dyDescent="0.2">
      <c r="A319" s="5"/>
      <c r="B319" s="2"/>
      <c r="H319" s="31"/>
      <c r="I319" s="32"/>
      <c r="J319" s="32"/>
      <c r="K319" s="32"/>
      <c r="L319" s="32"/>
      <c r="M319" s="32"/>
      <c r="N319" s="32"/>
      <c r="O319" s="32"/>
      <c r="P319" s="32"/>
      <c r="Q319" s="8"/>
      <c r="R319" s="10"/>
      <c r="S319" s="73"/>
      <c r="T319" s="74"/>
      <c r="U319" s="74"/>
      <c r="V319" s="32"/>
      <c r="W319" s="32"/>
      <c r="X319" s="32"/>
      <c r="Y319" s="32"/>
      <c r="Z319" s="32"/>
      <c r="AA319" s="33"/>
      <c r="AH319" s="3"/>
      <c r="AI319" s="3"/>
      <c r="AV319" s="3"/>
      <c r="AW319" s="3"/>
      <c r="AX319" s="3"/>
      <c r="AY319" s="3"/>
      <c r="AZ319" s="3"/>
      <c r="BA319" s="3"/>
      <c r="BB319" s="3"/>
      <c r="BC319" s="5"/>
    </row>
    <row r="320" spans="1:59" x14ac:dyDescent="0.2">
      <c r="A320" s="5"/>
      <c r="B320" s="2"/>
      <c r="D320" s="71">
        <f>AO293*(I325+N325+AH295*9)/(N325+AH295*9)</f>
        <v>32.913294308252475</v>
      </c>
      <c r="E320" s="71"/>
      <c r="F320" s="3" t="s">
        <v>0</v>
      </c>
      <c r="H320" s="31"/>
      <c r="I320" s="32"/>
      <c r="J320" s="32">
        <v>1</v>
      </c>
      <c r="K320" s="32"/>
      <c r="L320" s="32"/>
      <c r="M320" s="32"/>
      <c r="N320" s="32"/>
      <c r="O320" s="32"/>
      <c r="P320" s="32"/>
      <c r="Q320" s="8"/>
      <c r="R320" s="10"/>
      <c r="S320" s="73">
        <f>AO293-(D320-AO293)*N325/I325</f>
        <v>26.47976937752826</v>
      </c>
      <c r="T320" s="74"/>
      <c r="U320" s="74" t="s">
        <v>0</v>
      </c>
      <c r="V320" s="32"/>
      <c r="W320" s="32"/>
      <c r="X320" s="32"/>
      <c r="Y320" s="32">
        <v>20</v>
      </c>
      <c r="Z320" s="32"/>
      <c r="AA320" s="33"/>
      <c r="AH320" s="3"/>
      <c r="AI320" s="3"/>
      <c r="AV320" s="3"/>
      <c r="AW320" s="3"/>
      <c r="AX320" s="3"/>
      <c r="AY320" s="3"/>
      <c r="AZ320" s="3"/>
      <c r="BA320" s="3"/>
      <c r="BB320" s="3"/>
      <c r="BC320" s="5"/>
    </row>
    <row r="321" spans="1:95" x14ac:dyDescent="0.2">
      <c r="A321" s="5"/>
      <c r="B321" s="2"/>
      <c r="C321" s="3"/>
      <c r="D321" s="3"/>
      <c r="E321" s="3"/>
      <c r="F321" s="3"/>
      <c r="G321" s="3"/>
      <c r="H321" s="35"/>
      <c r="I321" s="36"/>
      <c r="J321" s="36"/>
      <c r="K321" s="36"/>
      <c r="L321" s="36"/>
      <c r="M321" s="36"/>
      <c r="N321" s="36"/>
      <c r="O321" s="36"/>
      <c r="P321" s="36"/>
      <c r="Q321" s="11"/>
      <c r="R321" s="12"/>
      <c r="S321" s="75"/>
      <c r="T321" s="76"/>
      <c r="U321" s="76"/>
      <c r="V321" s="36"/>
      <c r="W321" s="36"/>
      <c r="X321" s="36"/>
      <c r="Y321" s="36"/>
      <c r="Z321" s="36"/>
      <c r="AA321" s="37"/>
      <c r="AB321" s="3"/>
      <c r="AC321" s="3"/>
      <c r="AD321" s="3"/>
      <c r="AE321" s="3"/>
      <c r="AF321" s="3"/>
      <c r="AG321" s="3"/>
      <c r="AH321" s="3"/>
      <c r="AI321" s="3"/>
      <c r="AV321" s="3"/>
      <c r="AW321" s="3"/>
      <c r="AX321" s="3"/>
      <c r="AY321" s="3"/>
      <c r="AZ321" s="3"/>
      <c r="BA321" s="3"/>
      <c r="BB321" s="3"/>
      <c r="BC321" s="5"/>
    </row>
    <row r="322" spans="1:95" x14ac:dyDescent="0.2">
      <c r="A322" s="5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V322" s="3"/>
      <c r="AW322" s="3"/>
      <c r="AX322" s="3"/>
      <c r="AY322" s="3"/>
      <c r="AZ322" s="3"/>
      <c r="BA322" s="3"/>
      <c r="BB322" s="3"/>
      <c r="BC322" s="5"/>
    </row>
    <row r="323" spans="1:95" x14ac:dyDescent="0.2">
      <c r="A323" s="5"/>
      <c r="B323" s="2"/>
      <c r="C323" s="3"/>
      <c r="D323" s="3"/>
      <c r="E323" s="3"/>
      <c r="F323" s="3"/>
      <c r="G323" s="3"/>
      <c r="H323" s="3"/>
      <c r="I323" s="3"/>
      <c r="J323" s="3"/>
      <c r="K323" s="78">
        <v>120</v>
      </c>
      <c r="L323" s="78"/>
      <c r="M323" s="3" t="s">
        <v>0</v>
      </c>
      <c r="N323" s="3"/>
      <c r="O323" s="3"/>
      <c r="P323" s="3"/>
      <c r="Q323" s="78">
        <v>25</v>
      </c>
      <c r="R323" s="78"/>
      <c r="S323" s="3" t="s">
        <v>0</v>
      </c>
      <c r="T323" s="3"/>
      <c r="U323" s="3"/>
      <c r="V323" s="71">
        <f>+K323</f>
        <v>120</v>
      </c>
      <c r="W323" s="71"/>
      <c r="X323" s="3" t="s">
        <v>0</v>
      </c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V323" s="3"/>
      <c r="AW323" s="3"/>
      <c r="AX323" s="3"/>
      <c r="AY323" s="3"/>
      <c r="AZ323" s="3"/>
      <c r="BA323" s="3"/>
      <c r="BB323" s="3"/>
      <c r="BC323" s="5"/>
    </row>
    <row r="324" spans="1:95" x14ac:dyDescent="0.2">
      <c r="A324" s="5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 t="s">
        <v>9</v>
      </c>
      <c r="AK324" s="3"/>
      <c r="AL324" s="71">
        <f>+AO293</f>
        <v>30</v>
      </c>
      <c r="AM324" s="71"/>
      <c r="AN324" s="3" t="s">
        <v>0</v>
      </c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5"/>
    </row>
    <row r="325" spans="1:95" x14ac:dyDescent="0.2">
      <c r="A325" s="5"/>
      <c r="B325" s="2"/>
      <c r="C325" s="3"/>
      <c r="D325" s="3"/>
      <c r="E325" s="3"/>
      <c r="F325" s="3"/>
      <c r="G325" s="3"/>
      <c r="H325" s="3"/>
      <c r="I325" s="71">
        <f>+K323/2</f>
        <v>60</v>
      </c>
      <c r="J325" s="71"/>
      <c r="K325" s="3" t="s">
        <v>0</v>
      </c>
      <c r="L325" s="3"/>
      <c r="M325" s="3"/>
      <c r="N325" s="71">
        <f>+K323/2+Q323/2</f>
        <v>72.5</v>
      </c>
      <c r="O325" s="71"/>
      <c r="P325" s="3" t="s">
        <v>0</v>
      </c>
      <c r="Q325" s="3"/>
      <c r="R325" s="3"/>
      <c r="S325" s="3"/>
      <c r="T325" s="71">
        <f>+V323/2+Q323/2</f>
        <v>72.5</v>
      </c>
      <c r="U325" s="71"/>
      <c r="V325" s="3" t="s">
        <v>0</v>
      </c>
      <c r="W325" s="3"/>
      <c r="X325" s="3"/>
      <c r="Y325" s="71">
        <f>+V323/2</f>
        <v>60</v>
      </c>
      <c r="Z325" s="71"/>
      <c r="AA325" s="3" t="s">
        <v>0</v>
      </c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5"/>
    </row>
    <row r="326" spans="1:95" x14ac:dyDescent="0.2">
      <c r="A326" s="5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5"/>
    </row>
    <row r="327" spans="1:95" x14ac:dyDescent="0.2">
      <c r="A327" s="5"/>
      <c r="B327" s="2"/>
      <c r="C327" s="3"/>
      <c r="D327" s="3"/>
      <c r="E327" s="3"/>
      <c r="F327" s="3"/>
      <c r="G327" s="3"/>
      <c r="H327" s="3"/>
      <c r="I327" s="3"/>
      <c r="J327" s="3"/>
      <c r="K327" s="72">
        <f>+K323+Q323/2</f>
        <v>132.5</v>
      </c>
      <c r="L327" s="72"/>
      <c r="M327" s="72"/>
      <c r="N327" s="3" t="s">
        <v>0</v>
      </c>
      <c r="O327" s="3"/>
      <c r="P327" s="3"/>
      <c r="Q327" s="3"/>
      <c r="R327" s="3"/>
      <c r="S327" s="3"/>
      <c r="T327" s="3"/>
      <c r="U327" s="71">
        <f>+K327</f>
        <v>132.5</v>
      </c>
      <c r="V327" s="71"/>
      <c r="W327" s="71"/>
      <c r="X327" s="3" t="s">
        <v>0</v>
      </c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5"/>
    </row>
    <row r="328" spans="1:95" x14ac:dyDescent="0.2">
      <c r="A328" s="5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 t="s">
        <v>21</v>
      </c>
      <c r="AK328" s="3"/>
      <c r="AL328" s="3"/>
      <c r="AM328" s="3"/>
      <c r="AN328" s="3"/>
      <c r="AO328" s="3"/>
      <c r="AP328" s="38"/>
      <c r="AQ328" s="38"/>
      <c r="AR328" s="9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5"/>
    </row>
    <row r="329" spans="1:95" x14ac:dyDescent="0.2">
      <c r="A329" s="5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71">
        <f>+K323+Q323+V323</f>
        <v>265</v>
      </c>
      <c r="R329" s="71"/>
      <c r="S329" s="3" t="s">
        <v>0</v>
      </c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5"/>
    </row>
    <row r="330" spans="1:95" ht="12" thickBot="1" x14ac:dyDescent="0.25">
      <c r="A330" s="5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5"/>
    </row>
    <row r="331" spans="1:95" ht="12" thickBot="1" x14ac:dyDescent="0.25"/>
    <row r="332" spans="1:95" ht="48.75" customHeight="1" x14ac:dyDescent="0.2">
      <c r="A332" s="18"/>
      <c r="B332" s="85" t="s">
        <v>31</v>
      </c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  <c r="AN332" s="85"/>
      <c r="AO332" s="85"/>
      <c r="AP332" s="85"/>
      <c r="AQ332" s="85"/>
      <c r="AR332" s="85"/>
      <c r="AS332" s="85"/>
      <c r="AT332" s="85"/>
      <c r="AU332" s="85"/>
      <c r="AV332" s="85"/>
      <c r="AW332" s="85"/>
      <c r="AX332" s="85"/>
      <c r="AY332" s="85"/>
      <c r="AZ332" s="85"/>
      <c r="BA332" s="85"/>
      <c r="BB332" s="85"/>
      <c r="BC332" s="86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</row>
    <row r="333" spans="1:95" x14ac:dyDescent="0.2">
      <c r="A333" s="23"/>
      <c r="B333" s="3"/>
      <c r="C333" s="3"/>
      <c r="D333" s="3"/>
      <c r="E333" s="3"/>
      <c r="F333" s="3"/>
      <c r="G333" s="3"/>
      <c r="H333" s="3"/>
      <c r="I333" s="3"/>
      <c r="J333" s="3"/>
      <c r="K333" s="3"/>
      <c r="N333" s="3"/>
      <c r="O333" s="3"/>
      <c r="P333" s="3"/>
      <c r="Q333" s="3"/>
      <c r="R333" s="3"/>
      <c r="S333" s="3"/>
      <c r="T333" s="3"/>
      <c r="U333" s="3"/>
      <c r="X333" s="3"/>
      <c r="Y333" s="3"/>
      <c r="Z333" s="16" t="s">
        <v>5</v>
      </c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18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</row>
    <row r="334" spans="1:95" x14ac:dyDescent="0.2">
      <c r="A334" s="23"/>
      <c r="B334" s="3"/>
      <c r="C334" s="3"/>
      <c r="D334" s="3"/>
      <c r="E334" s="3"/>
      <c r="F334" s="3"/>
      <c r="G334" s="3"/>
      <c r="H334" s="3"/>
      <c r="I334" s="3"/>
      <c r="J334" s="3"/>
      <c r="K334" s="71">
        <f>+K369</f>
        <v>132.5</v>
      </c>
      <c r="L334" s="71"/>
      <c r="M334" s="71"/>
      <c r="N334" s="3" t="s">
        <v>0</v>
      </c>
      <c r="O334" s="3"/>
      <c r="P334" s="3"/>
      <c r="Q334" s="3"/>
      <c r="R334" s="3"/>
      <c r="S334" s="3"/>
      <c r="T334" s="3"/>
      <c r="U334" s="71">
        <f>+K334</f>
        <v>132.5</v>
      </c>
      <c r="V334" s="71"/>
      <c r="W334" s="71"/>
      <c r="X334" s="3" t="s">
        <v>0</v>
      </c>
      <c r="Y334" s="3"/>
      <c r="Z334" s="16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5"/>
    </row>
    <row r="335" spans="1:95" x14ac:dyDescent="0.2">
      <c r="A335" s="23"/>
      <c r="B335" s="3"/>
      <c r="C335" s="3"/>
      <c r="F335" s="3"/>
      <c r="G335" s="3"/>
      <c r="H335" s="3"/>
      <c r="I335" s="3"/>
      <c r="J335" s="3"/>
      <c r="K335" s="3"/>
      <c r="L335" s="3"/>
      <c r="Q335" s="3"/>
      <c r="R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G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5"/>
    </row>
    <row r="336" spans="1:95" x14ac:dyDescent="0.2">
      <c r="A336" s="23"/>
      <c r="B336" s="3"/>
      <c r="C336" s="3"/>
      <c r="D336" s="3"/>
      <c r="E336" s="3"/>
      <c r="F336" s="3"/>
      <c r="G336" s="71">
        <f>+K334-M336-P336-J336</f>
        <v>5.7280524280600105</v>
      </c>
      <c r="H336" s="71"/>
      <c r="I336" s="1" t="s">
        <v>0</v>
      </c>
      <c r="J336" s="71">
        <f>(N367*SIN((2.5*AP337*360/(2*PI()*N367))*PI()/180))*((I367+N367-(N367*COS((2.5*AP337*360/(2*PI()*N367))*PI()/180)))+((N367*SIN((2.5*AP337*360/(2*PI()*N367))*PI()/180))*((N367*COS((2.5*AP337*360/(2*PI()*N367))*PI()/180))+AC355)/((N367*SIN((2.5*AP337*360/(2*PI()*N367))*PI()/180))+3*AI339)))/((N367*SIN((2.5*AP337*360/(2*PI()*N367))*PI()/180))*((N367*COS((2.5*AP337*360/(2*PI()*N367))*PI()/180))+AC355)/((N367*SIN((2.5*AP337*360/(2*PI()*N367))*PI()/180))+3*AI339))-P336-M336</f>
        <v>54.467939355000468</v>
      </c>
      <c r="K336" s="71"/>
      <c r="L336" s="1" t="s">
        <v>0</v>
      </c>
      <c r="M336" s="71">
        <f>(N367*SIN((1.5*AP337*360/(2*PI()*N367))*PI()/180))*((I367+N367-(N367*COS((1.5*AP337*360/(2*PI()*N367))*PI()/180)))+((N367*SIN((1.5*AP337*360/(2*PI()*N367))*PI()/180))*((N367*COS((1.5*AP337*360/(2*PI()*N367))*PI()/180))+AC355)/((N367*SIN((1.5*AP337*360/(2*PI()*N367))*PI()/180))+2*AI339)))/((N367*SIN((1.5*AP337*360/(2*PI()*N367))*PI()/180))*((N367*COS((1.5*AP337*360/(2*PI()*N367))*PI()/180))+AC355)/((N367*SIN((1.5*AP337*360/(2*PI()*N367))*PI()/180))+2*AI339))-P336</f>
        <v>46.994198819503339</v>
      </c>
      <c r="N336" s="71"/>
      <c r="O336" s="1" t="s">
        <v>0</v>
      </c>
      <c r="P336" s="71">
        <f>((N367*SIN((AP337/2*360/(2*PI()*N367))*PI()/180))-Q346)*(I367-((N367*COS((AP337/2*360/(2*PI()*N367))*PI()/180))-M349)+I367)/((N367*COS((AP337/2*360/(2*PI()*N367))*PI()/180))-M349)+(N367*SIN((AP337/2*360/(2*PI()*N367))*PI()/180))</f>
        <v>25.309809397436183</v>
      </c>
      <c r="Q336" s="71"/>
      <c r="R336" s="71">
        <f>+P336</f>
        <v>25.309809397436183</v>
      </c>
      <c r="S336" s="71"/>
      <c r="T336" s="71">
        <f>+M336</f>
        <v>46.994198819503339</v>
      </c>
      <c r="U336" s="71"/>
      <c r="V336" s="1" t="s">
        <v>0</v>
      </c>
      <c r="X336" s="71">
        <f>+J336</f>
        <v>54.467939355000468</v>
      </c>
      <c r="Y336" s="71"/>
      <c r="Z336" s="1" t="s">
        <v>0</v>
      </c>
      <c r="AA336" s="71">
        <f>+G336</f>
        <v>5.7280524280600105</v>
      </c>
      <c r="AB336" s="71"/>
      <c r="AC336" s="3" t="s">
        <v>0</v>
      </c>
      <c r="AD336" s="3"/>
      <c r="AG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5"/>
      <c r="BG336" s="27" t="s">
        <v>22</v>
      </c>
      <c r="CQ336" s="3"/>
    </row>
    <row r="337" spans="1:95" x14ac:dyDescent="0.2">
      <c r="A337" s="2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I337" s="3" t="s">
        <v>1</v>
      </c>
      <c r="AJ337" s="3"/>
      <c r="AK337" s="3"/>
      <c r="AL337" s="3"/>
      <c r="AM337" s="3"/>
      <c r="AN337" s="3"/>
      <c r="AO337" s="3"/>
      <c r="AP337" s="78">
        <v>30</v>
      </c>
      <c r="AQ337" s="78"/>
      <c r="AR337" s="3" t="s">
        <v>0</v>
      </c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5"/>
      <c r="BG337" s="3" t="s">
        <v>18</v>
      </c>
      <c r="BH337" s="3"/>
      <c r="BI337" s="3"/>
      <c r="BJ337" s="3"/>
      <c r="BK337" s="3"/>
      <c r="BL337" s="78">
        <v>3.1</v>
      </c>
      <c r="BM337" s="78"/>
      <c r="BN337" s="3" t="s">
        <v>10</v>
      </c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CQ337" s="3"/>
    </row>
    <row r="338" spans="1:95" x14ac:dyDescent="0.2">
      <c r="A338" s="2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 t="s">
        <v>3</v>
      </c>
      <c r="AJ338" s="3"/>
      <c r="AK338" s="3"/>
      <c r="AL338" s="3"/>
      <c r="AM338" s="3"/>
      <c r="AN338" s="3"/>
      <c r="AO338" s="9">
        <v>19</v>
      </c>
      <c r="AP338" s="3" t="s">
        <v>4</v>
      </c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5"/>
      <c r="BG338" s="21" t="s">
        <v>6</v>
      </c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CQ338" s="3"/>
    </row>
    <row r="339" spans="1:95" x14ac:dyDescent="0.2">
      <c r="A339" s="23"/>
      <c r="B339" s="3"/>
      <c r="C339" s="3"/>
      <c r="D339" s="3"/>
      <c r="E339" s="3"/>
      <c r="F339" s="3"/>
      <c r="G339" s="3"/>
      <c r="H339" s="28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30"/>
      <c r="AB339" s="3"/>
      <c r="AC339" s="3"/>
      <c r="AD339" s="3"/>
      <c r="AE339" s="3"/>
      <c r="AF339" s="3"/>
      <c r="AG339" s="3"/>
      <c r="AI339" s="92">
        <f>P336*(AC355+M349-S349)/(AC344-M349+S349)</f>
        <v>26.076930673174711</v>
      </c>
      <c r="AJ339" s="92"/>
      <c r="AK339" s="92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5"/>
      <c r="BG339" s="3" t="s">
        <v>7</v>
      </c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CQ339" s="3"/>
    </row>
    <row r="340" spans="1:95" x14ac:dyDescent="0.2">
      <c r="A340" s="23"/>
      <c r="B340" s="3"/>
      <c r="C340" s="3"/>
      <c r="D340" s="71">
        <f>+C350-D344-D349-D352-D356-D359-D362</f>
        <v>61.820460611299119</v>
      </c>
      <c r="E340" s="71"/>
      <c r="F340" s="3" t="s">
        <v>0</v>
      </c>
      <c r="G340" s="3"/>
      <c r="H340" s="31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3"/>
      <c r="AB340" s="3"/>
      <c r="AC340" s="3"/>
      <c r="AD340" s="3"/>
      <c r="AE340" s="3"/>
      <c r="AF340" s="3"/>
      <c r="AG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5"/>
      <c r="BG340" s="3" t="s">
        <v>8</v>
      </c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CQ340" s="3"/>
    </row>
    <row r="341" spans="1:95" x14ac:dyDescent="0.2">
      <c r="A341" s="23"/>
      <c r="B341" s="3"/>
      <c r="C341" s="3"/>
      <c r="D341" s="3"/>
      <c r="E341" s="3"/>
      <c r="F341" s="3"/>
      <c r="G341" s="3"/>
      <c r="H341" s="31"/>
      <c r="I341" s="32"/>
      <c r="J341" s="32"/>
      <c r="K341" s="32"/>
      <c r="L341" s="32">
        <v>8</v>
      </c>
      <c r="M341" s="32"/>
      <c r="N341" s="32"/>
      <c r="O341" s="34">
        <v>9</v>
      </c>
      <c r="P341" s="32"/>
      <c r="Q341" s="74">
        <v>10</v>
      </c>
      <c r="R341" s="74"/>
      <c r="S341" s="32"/>
      <c r="T341" s="32">
        <v>11</v>
      </c>
      <c r="U341" s="32"/>
      <c r="V341" s="32"/>
      <c r="W341" s="32">
        <v>12</v>
      </c>
      <c r="X341" s="32"/>
      <c r="Y341" s="32"/>
      <c r="Z341" s="32"/>
      <c r="AA341" s="33"/>
      <c r="AB341" s="3"/>
      <c r="AC341" s="3"/>
      <c r="AD341" s="3"/>
      <c r="AE341" s="3"/>
      <c r="AF341" s="3"/>
      <c r="AG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5"/>
      <c r="BG341" s="3" t="s">
        <v>9</v>
      </c>
      <c r="BH341" s="3"/>
      <c r="BI341" s="71">
        <f>0.63-2*BI342</f>
        <v>0.30368421052631578</v>
      </c>
      <c r="BJ341" s="71"/>
      <c r="BK341" s="71"/>
      <c r="BL341" s="3" t="s">
        <v>10</v>
      </c>
      <c r="BM341" s="3" t="s">
        <v>11</v>
      </c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CQ341" s="3"/>
    </row>
    <row r="342" spans="1:95" x14ac:dyDescent="0.2">
      <c r="A342" s="23"/>
      <c r="B342" s="3"/>
      <c r="C342" s="3"/>
      <c r="D342" s="3"/>
      <c r="E342" s="3"/>
      <c r="F342" s="3"/>
      <c r="G342" s="3"/>
      <c r="H342" s="31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3"/>
      <c r="AB342" s="3"/>
      <c r="AC342" s="79" t="s">
        <v>0</v>
      </c>
      <c r="AD342" s="3"/>
      <c r="AE342" s="79" t="s">
        <v>0</v>
      </c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5"/>
      <c r="BG342" s="3" t="s">
        <v>12</v>
      </c>
      <c r="BH342" s="3"/>
      <c r="BI342" s="71">
        <f>BL337/BL343</f>
        <v>0.16315789473684211</v>
      </c>
      <c r="BJ342" s="71"/>
      <c r="BK342" s="71"/>
      <c r="BL342" s="3" t="s">
        <v>10</v>
      </c>
      <c r="BM342" s="3" t="s">
        <v>13</v>
      </c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</row>
    <row r="343" spans="1:95" x14ac:dyDescent="0.2">
      <c r="A343" s="23"/>
      <c r="B343" s="3"/>
      <c r="C343" s="3"/>
      <c r="D343" s="3"/>
      <c r="E343" s="3"/>
      <c r="F343" s="3"/>
      <c r="G343" s="3"/>
      <c r="H343" s="31"/>
      <c r="I343" s="32"/>
      <c r="J343" s="32">
        <v>7</v>
      </c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>
        <v>13</v>
      </c>
      <c r="Z343" s="32"/>
      <c r="AA343" s="33"/>
      <c r="AB343" s="3"/>
      <c r="AC343" s="79"/>
      <c r="AD343" s="3"/>
      <c r="AE343" s="79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5"/>
      <c r="BG343" s="3" t="s">
        <v>14</v>
      </c>
      <c r="BH343" s="3"/>
      <c r="BI343" s="3"/>
      <c r="BJ343" s="3"/>
      <c r="BK343" s="3"/>
      <c r="BL343" s="72">
        <v>19</v>
      </c>
      <c r="BM343" s="72"/>
      <c r="BN343" s="3" t="s">
        <v>4</v>
      </c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</row>
    <row r="344" spans="1:95" x14ac:dyDescent="0.2">
      <c r="A344" s="23"/>
      <c r="B344" s="3"/>
      <c r="C344" s="3"/>
      <c r="D344" s="71">
        <f>((S355+S356+S358+S359+S361+S363)*(K369+4*AI339)/(4*AI339))-((S356+S358+S359+S361+S363)*(K369+5*AI339)/(5*AI339))</f>
        <v>47.436624427112264</v>
      </c>
      <c r="E344" s="71"/>
      <c r="F344" s="3" t="s">
        <v>0</v>
      </c>
      <c r="G344" s="3"/>
      <c r="H344" s="31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3"/>
      <c r="AB344" s="3"/>
      <c r="AC344" s="79">
        <f>+K365+Q365/2</f>
        <v>132.5</v>
      </c>
      <c r="AD344" s="3"/>
      <c r="AE344" s="79">
        <f>+C350-AE354</f>
        <v>120</v>
      </c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9"/>
      <c r="BB344" s="9"/>
      <c r="BC344" s="23"/>
      <c r="BG344" s="3">
        <v>2</v>
      </c>
      <c r="BH344" s="41" t="s">
        <v>15</v>
      </c>
      <c r="BI344" s="71">
        <f>+BI342</f>
        <v>0.16315789473684211</v>
      </c>
      <c r="BJ344" s="71"/>
      <c r="BK344" s="71"/>
      <c r="BL344" s="41" t="s">
        <v>16</v>
      </c>
      <c r="BM344" s="71">
        <f>+BI341</f>
        <v>0.30368421052631578</v>
      </c>
      <c r="BN344" s="71"/>
      <c r="BO344" s="71"/>
      <c r="BP344" s="41" t="s">
        <v>17</v>
      </c>
      <c r="BQ344" s="71">
        <f>+BG344*BI344+BM344</f>
        <v>0.63</v>
      </c>
      <c r="BR344" s="71"/>
      <c r="BS344" s="71"/>
      <c r="BT344" s="3" t="s">
        <v>10</v>
      </c>
      <c r="BU344" s="3"/>
      <c r="BV344" s="16" t="str">
        <f>IF(BQ344=0.63,"uygun.","uygun değil.")</f>
        <v>uygun.</v>
      </c>
      <c r="BW344" s="3"/>
      <c r="BX344" s="3"/>
      <c r="BY344" s="3"/>
    </row>
    <row r="345" spans="1:95" x14ac:dyDescent="0.2">
      <c r="A345" s="23"/>
      <c r="B345" s="3"/>
      <c r="C345" s="3"/>
      <c r="D345" s="3"/>
      <c r="E345" s="3"/>
      <c r="F345" s="3"/>
      <c r="G345" s="3"/>
      <c r="H345" s="31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3"/>
      <c r="AB345" s="3"/>
      <c r="AC345" s="79"/>
      <c r="AD345" s="3"/>
      <c r="AE345" s="79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9"/>
      <c r="BB345" s="9"/>
      <c r="BC345" s="23"/>
    </row>
    <row r="346" spans="1:95" x14ac:dyDescent="0.2">
      <c r="A346" s="23"/>
      <c r="B346" s="3"/>
      <c r="C346" s="3"/>
      <c r="D346" s="3"/>
      <c r="E346" s="3"/>
      <c r="F346" s="3"/>
      <c r="G346" s="3"/>
      <c r="H346" s="31"/>
      <c r="I346" s="32"/>
      <c r="J346" s="32"/>
      <c r="K346" s="32"/>
      <c r="L346" s="32"/>
      <c r="M346" s="32"/>
      <c r="N346" s="32"/>
      <c r="O346" s="32"/>
      <c r="P346" s="32"/>
      <c r="Q346" s="20">
        <v>5</v>
      </c>
      <c r="R346" s="32" t="s">
        <v>0</v>
      </c>
      <c r="S346" s="32"/>
      <c r="T346" s="32"/>
      <c r="U346" s="32"/>
      <c r="V346" s="32"/>
      <c r="W346" s="32"/>
      <c r="X346" s="32"/>
      <c r="Y346" s="32"/>
      <c r="Z346" s="32"/>
      <c r="AA346" s="33"/>
      <c r="AB346" s="3"/>
      <c r="AC346" s="79"/>
      <c r="AD346" s="3"/>
      <c r="AE346" s="79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9"/>
      <c r="BB346" s="9"/>
      <c r="BC346" s="23"/>
    </row>
    <row r="347" spans="1:95" x14ac:dyDescent="0.2">
      <c r="A347" s="23"/>
      <c r="B347" s="3"/>
      <c r="C347" s="3"/>
      <c r="D347" s="3"/>
      <c r="E347" s="3"/>
      <c r="F347" s="3"/>
      <c r="G347" s="3"/>
      <c r="H347" s="31"/>
      <c r="I347" s="32"/>
      <c r="J347" s="32">
        <v>6</v>
      </c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>
        <v>14</v>
      </c>
      <c r="Z347" s="32"/>
      <c r="AA347" s="3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9"/>
      <c r="BB347" s="9"/>
      <c r="BC347" s="23"/>
      <c r="BG347" s="1" t="s">
        <v>19</v>
      </c>
    </row>
    <row r="348" spans="1:95" x14ac:dyDescent="0.2">
      <c r="A348" s="23"/>
      <c r="B348" s="3"/>
      <c r="C348" s="79" t="s">
        <v>0</v>
      </c>
      <c r="D348" s="3"/>
      <c r="E348" s="3"/>
      <c r="F348" s="3"/>
      <c r="G348" s="3"/>
      <c r="H348" s="31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9"/>
      <c r="AN348" s="9"/>
      <c r="AO348" s="9"/>
      <c r="AP348" s="9"/>
      <c r="AQ348" s="9"/>
      <c r="AR348" s="9"/>
      <c r="AS348" s="9"/>
      <c r="AT348" s="3"/>
      <c r="AU348" s="3"/>
      <c r="AV348" s="3"/>
      <c r="AW348" s="3"/>
      <c r="AX348" s="3"/>
      <c r="AY348" s="3"/>
      <c r="AZ348" s="3"/>
      <c r="BA348" s="9"/>
      <c r="BB348" s="9"/>
      <c r="BC348" s="23"/>
      <c r="BG348" s="4" t="s">
        <v>2</v>
      </c>
    </row>
    <row r="349" spans="1:95" x14ac:dyDescent="0.2">
      <c r="A349" s="23"/>
      <c r="B349" s="3"/>
      <c r="C349" s="79"/>
      <c r="D349" s="71">
        <f>5*AP337*(I367+N367+AI339*5)/(N367+AI339*5)-D359-D356-D352-D362</f>
        <v>42.913857946998768</v>
      </c>
      <c r="E349" s="71"/>
      <c r="F349" s="3" t="s">
        <v>0</v>
      </c>
      <c r="G349" s="3"/>
      <c r="H349" s="31"/>
      <c r="I349" s="32"/>
      <c r="J349" s="32"/>
      <c r="K349" s="32"/>
      <c r="L349" s="32"/>
      <c r="M349" s="74">
        <f>+Q365/2</f>
        <v>12.5</v>
      </c>
      <c r="N349" s="74"/>
      <c r="O349" s="32"/>
      <c r="P349" s="32"/>
      <c r="Q349" s="6"/>
      <c r="R349" s="7"/>
      <c r="S349" s="80">
        <f>Q346*K365/(P336-Q346)</f>
        <v>29.542374734237598</v>
      </c>
      <c r="T349" s="81"/>
      <c r="U349" s="74" t="s">
        <v>0</v>
      </c>
      <c r="V349" s="32"/>
      <c r="W349" s="32"/>
      <c r="X349" s="32"/>
      <c r="Y349" s="32"/>
      <c r="Z349" s="32"/>
      <c r="AA349" s="3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23"/>
    </row>
    <row r="350" spans="1:95" x14ac:dyDescent="0.2">
      <c r="A350" s="23"/>
      <c r="B350" s="3"/>
      <c r="C350" s="79">
        <f>+AC344+AC355</f>
        <v>303.61726630737002</v>
      </c>
      <c r="D350" s="3"/>
      <c r="E350" s="3"/>
      <c r="F350" s="3"/>
      <c r="G350" s="3"/>
      <c r="H350" s="31"/>
      <c r="I350" s="32"/>
      <c r="J350" s="32"/>
      <c r="K350" s="32"/>
      <c r="L350" s="32"/>
      <c r="M350" s="32"/>
      <c r="N350" s="32"/>
      <c r="O350" s="32"/>
      <c r="P350" s="32"/>
      <c r="Q350" s="8"/>
      <c r="R350" s="10"/>
      <c r="S350" s="80"/>
      <c r="T350" s="81"/>
      <c r="U350" s="74"/>
      <c r="V350" s="32"/>
      <c r="W350" s="32"/>
      <c r="X350" s="32"/>
      <c r="Y350" s="32"/>
      <c r="Z350" s="32"/>
      <c r="AA350" s="3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23"/>
      <c r="BG350" s="1" t="s">
        <v>20</v>
      </c>
    </row>
    <row r="351" spans="1:95" x14ac:dyDescent="0.2">
      <c r="A351" s="23"/>
      <c r="B351" s="3"/>
      <c r="C351" s="79"/>
      <c r="D351" s="3"/>
      <c r="E351" s="3"/>
      <c r="F351" s="3"/>
      <c r="G351" s="3"/>
      <c r="H351" s="31"/>
      <c r="I351" s="32"/>
      <c r="J351" s="32">
        <v>5</v>
      </c>
      <c r="K351" s="32"/>
      <c r="L351" s="32"/>
      <c r="M351" s="32"/>
      <c r="N351" s="32"/>
      <c r="O351" s="32"/>
      <c r="P351" s="32"/>
      <c r="Q351" s="8"/>
      <c r="R351" s="10"/>
      <c r="S351" s="73">
        <f>(N367*SIN((1.5*AP337*360/(2*PI()*N367))*PI()/180))*((N367*COS((1.5*AP337*360/(2*PI()*N367))*PI()/180))+AC355)/((N367*SIN((1.5*AP337*360/(2*PI()*N367))*PI()/180))+2*AI339)-(N367*COS((1.5*AP337*360/(2*PI()*N367))*PI()/180))+M349-S349</f>
        <v>26.844585728149667</v>
      </c>
      <c r="T351" s="74"/>
      <c r="U351" s="74" t="s">
        <v>0</v>
      </c>
      <c r="V351" s="32"/>
      <c r="W351" s="32"/>
      <c r="X351" s="32"/>
      <c r="Y351" s="32">
        <v>15</v>
      </c>
      <c r="Z351" s="32"/>
      <c r="AA351" s="3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23"/>
    </row>
    <row r="352" spans="1:95" x14ac:dyDescent="0.2">
      <c r="A352" s="23"/>
      <c r="B352" s="3"/>
      <c r="C352" s="79"/>
      <c r="D352" s="71">
        <f>4*AP337*(I367+N367+AI339*6)/(N367+AI339*6)-D359-D356-D362</f>
        <v>40.273050704319409</v>
      </c>
      <c r="E352" s="71"/>
      <c r="F352" s="3" t="s">
        <v>0</v>
      </c>
      <c r="G352" s="3"/>
      <c r="H352" s="31"/>
      <c r="I352" s="32"/>
      <c r="J352" s="32"/>
      <c r="K352" s="32"/>
      <c r="L352" s="32"/>
      <c r="M352" s="32"/>
      <c r="N352" s="32"/>
      <c r="O352" s="32"/>
      <c r="P352" s="32"/>
      <c r="Q352" s="8"/>
      <c r="R352" s="10"/>
      <c r="S352" s="73"/>
      <c r="T352" s="74"/>
      <c r="U352" s="74"/>
      <c r="V352" s="32"/>
      <c r="W352" s="32"/>
      <c r="X352" s="32"/>
      <c r="Y352" s="32"/>
      <c r="Z352" s="32"/>
      <c r="AA352" s="33"/>
      <c r="AB352" s="3"/>
      <c r="AC352" s="3"/>
      <c r="AD352" s="3"/>
      <c r="AE352" s="79" t="s">
        <v>0</v>
      </c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23"/>
    </row>
    <row r="353" spans="1:55" x14ac:dyDescent="0.2">
      <c r="A353" s="23"/>
      <c r="B353" s="3"/>
      <c r="G353" s="3"/>
      <c r="H353" s="31"/>
      <c r="I353" s="32"/>
      <c r="J353" s="32"/>
      <c r="K353" s="32"/>
      <c r="L353" s="32"/>
      <c r="M353" s="32"/>
      <c r="N353" s="32"/>
      <c r="O353" s="32"/>
      <c r="P353" s="32"/>
      <c r="Q353" s="8"/>
      <c r="R353" s="10"/>
      <c r="S353" s="73">
        <f>(N367*SIN((2.5*AP337*360/(2*PI()*N367))*PI()/180))*((N367*COS((2.5*AP337*360/(2*PI()*N367))*PI()/180))+AC355)/((N367*SIN((2.5*AP337*360/(2*PI()*N367))*PI()/180))+3*AI339)-(N367*COS((2.5*AP337*360/(2*PI()*N367))*PI()/180))+M349-S349-S351</f>
        <v>11.367370250256045</v>
      </c>
      <c r="T353" s="74"/>
      <c r="U353" s="32" t="s">
        <v>0</v>
      </c>
      <c r="V353" s="32"/>
      <c r="W353" s="32"/>
      <c r="X353" s="32"/>
      <c r="Y353" s="32"/>
      <c r="Z353" s="32"/>
      <c r="AA353" s="33"/>
      <c r="AB353" s="3"/>
      <c r="AC353" s="79" t="s">
        <v>0</v>
      </c>
      <c r="AD353" s="3"/>
      <c r="AE353" s="79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23"/>
    </row>
    <row r="354" spans="1:55" x14ac:dyDescent="0.2">
      <c r="A354" s="23"/>
      <c r="B354" s="3"/>
      <c r="C354" s="3"/>
      <c r="D354" s="3"/>
      <c r="E354" s="3"/>
      <c r="F354" s="3"/>
      <c r="G354" s="3"/>
      <c r="H354" s="31"/>
      <c r="I354" s="32"/>
      <c r="J354" s="32">
        <v>4</v>
      </c>
      <c r="K354" s="32"/>
      <c r="L354" s="32"/>
      <c r="M354" s="32"/>
      <c r="N354" s="32"/>
      <c r="O354" s="32"/>
      <c r="P354" s="32"/>
      <c r="Q354" s="8"/>
      <c r="R354" s="10"/>
      <c r="S354" s="73">
        <f>(N367*SIN((3.5*AP337*360/(2*PI()*N367))*PI()/180))*((N367*COS((3.5*AP337*360/(2*PI()*N367))*PI()/180))+AC355)/((N367*SIN((3.5*AP337*360/(2*PI()*N367))*PI()/180))+4*AI339)-(N367*COS((3.5*AP337*360/(2*PI()*N367))*PI()/180))+M349-S349-S351-S353</f>
        <v>9.3576499151065349</v>
      </c>
      <c r="T354" s="74"/>
      <c r="U354" s="32" t="s">
        <v>0</v>
      </c>
      <c r="V354" s="32"/>
      <c r="W354" s="32"/>
      <c r="X354" s="32"/>
      <c r="Y354" s="32">
        <v>16</v>
      </c>
      <c r="Z354" s="32"/>
      <c r="AA354" s="33"/>
      <c r="AB354" s="3"/>
      <c r="AC354" s="79"/>
      <c r="AD354" s="3"/>
      <c r="AE354" s="79">
        <f>+AC355+M349</f>
        <v>183.61726630737002</v>
      </c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T354" s="9"/>
      <c r="AU354" s="9"/>
      <c r="AV354" s="9"/>
      <c r="AW354" s="9"/>
      <c r="AX354" s="9"/>
      <c r="AY354" s="9"/>
      <c r="AZ354" s="9"/>
      <c r="BA354" s="9"/>
      <c r="BB354" s="9"/>
      <c r="BC354" s="23"/>
    </row>
    <row r="355" spans="1:55" x14ac:dyDescent="0.2">
      <c r="A355" s="23"/>
      <c r="B355" s="3"/>
      <c r="C355" s="3"/>
      <c r="D355" s="3"/>
      <c r="E355" s="3"/>
      <c r="F355" s="3"/>
      <c r="G355" s="3"/>
      <c r="H355" s="31"/>
      <c r="I355" s="32"/>
      <c r="J355" s="32"/>
      <c r="K355" s="32"/>
      <c r="L355" s="32"/>
      <c r="M355" s="32"/>
      <c r="N355" s="32"/>
      <c r="O355" s="32"/>
      <c r="P355" s="32"/>
      <c r="Q355" s="8"/>
      <c r="R355" s="10"/>
      <c r="S355" s="73">
        <f>+AC355+M349-S349-S351-S353-S354-S356-S358-S359-S361-S363</f>
        <v>10.107171379611856</v>
      </c>
      <c r="T355" s="74"/>
      <c r="U355" s="32" t="s">
        <v>0</v>
      </c>
      <c r="V355" s="32"/>
      <c r="W355" s="32"/>
      <c r="X355" s="32"/>
      <c r="Y355" s="32"/>
      <c r="Z355" s="32"/>
      <c r="AA355" s="33"/>
      <c r="AB355" s="3"/>
      <c r="AC355" s="79">
        <f>(9.5*AP337)-(2*PI()*N367*90/360)</f>
        <v>171.11726630737002</v>
      </c>
      <c r="AD355" s="3"/>
      <c r="AE355" s="79"/>
      <c r="AF355" s="3"/>
      <c r="AG355" s="3"/>
      <c r="AH355" s="3"/>
      <c r="AI355" s="3"/>
      <c r="AJ355" s="3"/>
      <c r="AK355" s="3"/>
      <c r="AL355" s="3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23"/>
    </row>
    <row r="356" spans="1:55" x14ac:dyDescent="0.2">
      <c r="A356" s="23"/>
      <c r="B356" s="3"/>
      <c r="C356" s="3"/>
      <c r="D356" s="71">
        <f>3*AP337*(I367+N367+AI339*7)/(N367+AI339*7)-D359-D362</f>
        <v>38.367145956529576</v>
      </c>
      <c r="E356" s="71"/>
      <c r="F356" s="3" t="s">
        <v>0</v>
      </c>
      <c r="G356" s="3"/>
      <c r="H356" s="31"/>
      <c r="I356" s="32"/>
      <c r="J356" s="32"/>
      <c r="K356" s="32"/>
      <c r="L356" s="32"/>
      <c r="M356" s="32"/>
      <c r="N356" s="32"/>
      <c r="O356" s="32"/>
      <c r="P356" s="32"/>
      <c r="Q356" s="8"/>
      <c r="R356" s="10"/>
      <c r="S356" s="73">
        <f>5*AP337-((D359+D356+D352+D349+D362)-5*AP337)*N367/I367-S361-S359-S358-S363</f>
        <v>14.395754980709818</v>
      </c>
      <c r="T356" s="74"/>
      <c r="U356" s="74" t="s">
        <v>0</v>
      </c>
      <c r="V356" s="32"/>
      <c r="W356" s="32"/>
      <c r="X356" s="32"/>
      <c r="Y356" s="32"/>
      <c r="Z356" s="32"/>
      <c r="AA356" s="33"/>
      <c r="AB356" s="3"/>
      <c r="AC356" s="79"/>
      <c r="AD356" s="3"/>
      <c r="AE356" s="79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23"/>
    </row>
    <row r="357" spans="1:55" x14ac:dyDescent="0.2">
      <c r="A357" s="23"/>
      <c r="B357" s="3"/>
      <c r="C357" s="3"/>
      <c r="D357" s="3"/>
      <c r="E357" s="3"/>
      <c r="F357" s="3"/>
      <c r="G357" s="3"/>
      <c r="H357" s="31"/>
      <c r="I357" s="32"/>
      <c r="J357" s="32">
        <v>3</v>
      </c>
      <c r="K357" s="32"/>
      <c r="L357" s="32"/>
      <c r="M357" s="32"/>
      <c r="N357" s="32"/>
      <c r="O357" s="32"/>
      <c r="P357" s="32"/>
      <c r="Q357" s="8"/>
      <c r="R357" s="10"/>
      <c r="S357" s="73"/>
      <c r="T357" s="74"/>
      <c r="U357" s="74"/>
      <c r="V357" s="32"/>
      <c r="W357" s="32"/>
      <c r="X357" s="32"/>
      <c r="Y357" s="32">
        <v>17</v>
      </c>
      <c r="Z357" s="32"/>
      <c r="AA357" s="33"/>
      <c r="AB357" s="3"/>
      <c r="AC357" s="79"/>
      <c r="AD357" s="3"/>
      <c r="AE357" s="3"/>
      <c r="AF357" s="3"/>
      <c r="AG357" s="3"/>
      <c r="AH357" s="3"/>
      <c r="AI357" s="3"/>
      <c r="AJ357" s="3"/>
      <c r="AK357" s="3"/>
      <c r="AL357" s="3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23"/>
    </row>
    <row r="358" spans="1:55" x14ac:dyDescent="0.2">
      <c r="A358" s="23"/>
      <c r="B358" s="3"/>
      <c r="C358" s="3"/>
      <c r="D358" s="3"/>
      <c r="E358" s="3"/>
      <c r="F358" s="3"/>
      <c r="G358" s="3"/>
      <c r="H358" s="31"/>
      <c r="I358" s="32"/>
      <c r="J358" s="32"/>
      <c r="K358" s="32"/>
      <c r="L358" s="32"/>
      <c r="M358" s="32"/>
      <c r="N358" s="32"/>
      <c r="O358" s="32"/>
      <c r="P358" s="32"/>
      <c r="Q358" s="8"/>
      <c r="R358" s="10"/>
      <c r="S358" s="73">
        <f>4*AP337-((D359+D356+D352+D362)-4*AP337)*N367/I367-S361-S359-S363</f>
        <v>17.586730398947395</v>
      </c>
      <c r="T358" s="74"/>
      <c r="U358" s="32" t="s">
        <v>0</v>
      </c>
      <c r="V358" s="32"/>
      <c r="W358" s="32"/>
      <c r="X358" s="32"/>
      <c r="Y358" s="32"/>
      <c r="Z358" s="32"/>
      <c r="AA358" s="3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5"/>
    </row>
    <row r="359" spans="1:55" x14ac:dyDescent="0.2">
      <c r="A359" s="23"/>
      <c r="B359" s="3"/>
      <c r="C359" s="3"/>
      <c r="D359" s="71">
        <f>2*AP337*(I367+N367+AI339*8)/(N367+AI339*8)-D362</f>
        <v>36.946606242359358</v>
      </c>
      <c r="E359" s="71"/>
      <c r="F359" s="3" t="s">
        <v>0</v>
      </c>
      <c r="G359" s="3"/>
      <c r="H359" s="31"/>
      <c r="I359" s="32"/>
      <c r="J359" s="32"/>
      <c r="K359" s="32"/>
      <c r="L359" s="32"/>
      <c r="M359" s="32"/>
      <c r="N359" s="32"/>
      <c r="O359" s="32"/>
      <c r="P359" s="32"/>
      <c r="Q359" s="8"/>
      <c r="R359" s="10"/>
      <c r="S359" s="73">
        <f>3*AP337-((D359+D356+D362)-3*AP337)*N367/I367-S361-S363</f>
        <v>19.889698635860093</v>
      </c>
      <c r="T359" s="74"/>
      <c r="U359" s="74" t="s">
        <v>0</v>
      </c>
      <c r="V359" s="32"/>
      <c r="W359" s="32"/>
      <c r="X359" s="32"/>
      <c r="Y359" s="32"/>
      <c r="Z359" s="32"/>
      <c r="AA359" s="3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5"/>
    </row>
    <row r="360" spans="1:55" x14ac:dyDescent="0.2">
      <c r="A360" s="23"/>
      <c r="B360" s="3"/>
      <c r="C360" s="3"/>
      <c r="D360" s="3"/>
      <c r="E360" s="3"/>
      <c r="F360" s="3"/>
      <c r="G360" s="3"/>
      <c r="H360" s="31"/>
      <c r="I360" s="32"/>
      <c r="J360" s="32">
        <v>2</v>
      </c>
      <c r="K360" s="32"/>
      <c r="L360" s="32"/>
      <c r="M360" s="32"/>
      <c r="N360" s="32"/>
      <c r="O360" s="32"/>
      <c r="P360" s="32"/>
      <c r="Q360" s="8"/>
      <c r="R360" s="10"/>
      <c r="S360" s="73"/>
      <c r="T360" s="74"/>
      <c r="U360" s="74"/>
      <c r="V360" s="32"/>
      <c r="W360" s="32"/>
      <c r="X360" s="32"/>
      <c r="Y360" s="32">
        <v>18</v>
      </c>
      <c r="Z360" s="32"/>
      <c r="AA360" s="3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5"/>
    </row>
    <row r="361" spans="1:55" x14ac:dyDescent="0.2">
      <c r="A361" s="23"/>
      <c r="B361" s="3"/>
      <c r="H361" s="31"/>
      <c r="I361" s="32"/>
      <c r="J361" s="32"/>
      <c r="K361" s="32"/>
      <c r="L361" s="32"/>
      <c r="M361" s="32"/>
      <c r="N361" s="32"/>
      <c r="O361" s="32"/>
      <c r="P361" s="32"/>
      <c r="Q361" s="8"/>
      <c r="R361" s="10"/>
      <c r="S361" s="74">
        <f>2*AP337-((D362+D359)-2*AP337)*N367/I367-S363</f>
        <v>21.606184123815773</v>
      </c>
      <c r="T361" s="74"/>
      <c r="U361" s="32" t="s">
        <v>0</v>
      </c>
      <c r="V361" s="32"/>
      <c r="W361" s="32"/>
      <c r="X361" s="32"/>
      <c r="Y361" s="32"/>
      <c r="Z361" s="32"/>
      <c r="AA361" s="33"/>
      <c r="AG361" s="3"/>
      <c r="AH361" s="3"/>
      <c r="AX361" s="3"/>
      <c r="AY361" s="3"/>
      <c r="AZ361" s="3"/>
      <c r="BA361" s="3"/>
      <c r="BB361" s="3"/>
      <c r="BC361" s="5"/>
    </row>
    <row r="362" spans="1:55" x14ac:dyDescent="0.2">
      <c r="A362" s="23"/>
      <c r="B362" s="3"/>
      <c r="D362" s="77">
        <f>1*AP337*(I367+N367+AI339*9)/(N367+AI339*9)</f>
        <v>35.859520418751522</v>
      </c>
      <c r="E362" s="77"/>
      <c r="F362" s="1" t="s">
        <v>0</v>
      </c>
      <c r="H362" s="31"/>
      <c r="I362" s="32"/>
      <c r="J362" s="32">
        <v>1</v>
      </c>
      <c r="K362" s="32"/>
      <c r="L362" s="32"/>
      <c r="M362" s="32"/>
      <c r="N362" s="32"/>
      <c r="O362" s="32"/>
      <c r="P362" s="32"/>
      <c r="Q362" s="8"/>
      <c r="R362" s="10"/>
      <c r="S362" s="32"/>
      <c r="T362" s="32"/>
      <c r="U362" s="32"/>
      <c r="V362" s="32"/>
      <c r="W362" s="32"/>
      <c r="X362" s="32"/>
      <c r="Y362" s="32">
        <v>19</v>
      </c>
      <c r="Z362" s="32"/>
      <c r="AA362" s="33"/>
      <c r="AG362" s="3"/>
      <c r="AH362" s="3"/>
      <c r="AK362" s="3"/>
      <c r="AL362" s="3"/>
      <c r="AM362" s="3"/>
      <c r="AN362" s="3"/>
      <c r="AO362" s="3"/>
      <c r="AP362" s="3"/>
      <c r="AQ362" s="3"/>
      <c r="AX362" s="3"/>
      <c r="AY362" s="3"/>
      <c r="AZ362" s="3"/>
      <c r="BA362" s="3"/>
      <c r="BB362" s="3"/>
      <c r="BC362" s="5"/>
    </row>
    <row r="363" spans="1:55" x14ac:dyDescent="0.2">
      <c r="A363" s="23"/>
      <c r="B363" s="3"/>
      <c r="C363" s="3"/>
      <c r="D363" s="3"/>
      <c r="E363" s="3"/>
      <c r="F363" s="3"/>
      <c r="G363" s="3"/>
      <c r="H363" s="35"/>
      <c r="I363" s="36"/>
      <c r="J363" s="36"/>
      <c r="K363" s="36"/>
      <c r="L363" s="36"/>
      <c r="M363" s="36"/>
      <c r="N363" s="36"/>
      <c r="O363" s="36"/>
      <c r="P363" s="36"/>
      <c r="Q363" s="11"/>
      <c r="R363" s="12"/>
      <c r="S363" s="75">
        <f>AP337-(D362-AP337)*N367/I367</f>
        <v>22.919746160675246</v>
      </c>
      <c r="T363" s="76"/>
      <c r="U363" s="36" t="s">
        <v>0</v>
      </c>
      <c r="V363" s="36"/>
      <c r="W363" s="36"/>
      <c r="X363" s="36"/>
      <c r="Y363" s="36"/>
      <c r="Z363" s="36"/>
      <c r="AA363" s="37"/>
      <c r="AB363" s="3"/>
      <c r="AC363" s="3"/>
      <c r="AD363" s="3"/>
      <c r="AE363" s="3"/>
      <c r="AF363" s="3"/>
      <c r="AG363" s="3"/>
      <c r="AH363" s="3"/>
      <c r="AX363" s="3"/>
      <c r="AY363" s="3"/>
      <c r="AZ363" s="3"/>
      <c r="BA363" s="3"/>
      <c r="BB363" s="3"/>
      <c r="BC363" s="5"/>
    </row>
    <row r="364" spans="1:55" x14ac:dyDescent="0.2">
      <c r="A364" s="2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X364" s="3"/>
      <c r="AY364" s="3"/>
      <c r="AZ364" s="3"/>
      <c r="BA364" s="3"/>
      <c r="BB364" s="3"/>
      <c r="BC364" s="5"/>
    </row>
    <row r="365" spans="1:55" x14ac:dyDescent="0.2">
      <c r="A365" s="23"/>
      <c r="B365" s="3"/>
      <c r="C365" s="3"/>
      <c r="D365" s="3"/>
      <c r="E365" s="3"/>
      <c r="F365" s="3"/>
      <c r="G365" s="3"/>
      <c r="H365" s="3"/>
      <c r="I365" s="3"/>
      <c r="J365" s="3"/>
      <c r="K365" s="78">
        <v>120</v>
      </c>
      <c r="L365" s="78"/>
      <c r="M365" s="3" t="s">
        <v>0</v>
      </c>
      <c r="N365" s="3"/>
      <c r="O365" s="3"/>
      <c r="P365" s="3"/>
      <c r="Q365" s="78">
        <v>25</v>
      </c>
      <c r="R365" s="78"/>
      <c r="S365" s="3" t="s">
        <v>0</v>
      </c>
      <c r="T365" s="3"/>
      <c r="U365" s="3"/>
      <c r="V365" s="71">
        <f>+K365</f>
        <v>120</v>
      </c>
      <c r="W365" s="71"/>
      <c r="X365" s="3" t="s">
        <v>0</v>
      </c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X365" s="3"/>
      <c r="AY365" s="3"/>
      <c r="AZ365" s="3"/>
      <c r="BA365" s="3"/>
      <c r="BB365" s="3"/>
      <c r="BC365" s="5"/>
    </row>
    <row r="366" spans="1:55" x14ac:dyDescent="0.2">
      <c r="A366" s="2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1" t="s">
        <v>9</v>
      </c>
      <c r="AK366" s="77">
        <f>+AP337</f>
        <v>30</v>
      </c>
      <c r="AL366" s="77"/>
      <c r="AM366" s="1" t="s">
        <v>0</v>
      </c>
      <c r="AX366" s="3"/>
      <c r="AY366" s="3"/>
      <c r="AZ366" s="3"/>
      <c r="BA366" s="3"/>
      <c r="BB366" s="3"/>
      <c r="BC366" s="5"/>
    </row>
    <row r="367" spans="1:55" x14ac:dyDescent="0.2">
      <c r="A367" s="23"/>
      <c r="B367" s="3"/>
      <c r="C367" s="3"/>
      <c r="D367" s="3"/>
      <c r="E367" s="3"/>
      <c r="F367" s="3"/>
      <c r="G367" s="3"/>
      <c r="H367" s="3"/>
      <c r="I367" s="71">
        <f>+K365/2</f>
        <v>60</v>
      </c>
      <c r="J367" s="71"/>
      <c r="K367" s="3" t="s">
        <v>0</v>
      </c>
      <c r="L367" s="3"/>
      <c r="M367" s="3"/>
      <c r="N367" s="71">
        <f>+K365/2+Q365/2</f>
        <v>72.5</v>
      </c>
      <c r="O367" s="71"/>
      <c r="P367" s="3" t="s">
        <v>0</v>
      </c>
      <c r="Q367" s="3"/>
      <c r="R367" s="3"/>
      <c r="S367" s="3"/>
      <c r="T367" s="71">
        <f>+V365/2+Q365/2</f>
        <v>72.5</v>
      </c>
      <c r="U367" s="71"/>
      <c r="V367" s="3" t="s">
        <v>0</v>
      </c>
      <c r="W367" s="3"/>
      <c r="X367" s="3"/>
      <c r="Y367" s="71">
        <f>+V365/2</f>
        <v>60</v>
      </c>
      <c r="Z367" s="71"/>
      <c r="AA367" s="3" t="s">
        <v>0</v>
      </c>
      <c r="AB367" s="3"/>
      <c r="AC367" s="3"/>
      <c r="AD367" s="3"/>
      <c r="AE367" s="3"/>
      <c r="AF367" s="3"/>
      <c r="AG367" s="3"/>
      <c r="AH367" s="3"/>
      <c r="AX367" s="3"/>
      <c r="AY367" s="3"/>
      <c r="AZ367" s="3"/>
      <c r="BA367" s="3"/>
      <c r="BB367" s="3"/>
      <c r="BC367" s="5"/>
    </row>
    <row r="368" spans="1:55" x14ac:dyDescent="0.2">
      <c r="A368" s="2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X368" s="3"/>
      <c r="AY368" s="3"/>
      <c r="AZ368" s="3"/>
      <c r="BA368" s="3"/>
      <c r="BB368" s="3"/>
      <c r="BC368" s="5"/>
    </row>
    <row r="369" spans="1:87" x14ac:dyDescent="0.2">
      <c r="A369" s="23"/>
      <c r="B369" s="3"/>
      <c r="C369" s="3"/>
      <c r="D369" s="3"/>
      <c r="E369" s="3"/>
      <c r="F369" s="3"/>
      <c r="G369" s="3"/>
      <c r="H369" s="3"/>
      <c r="I369" s="3"/>
      <c r="J369" s="3"/>
      <c r="K369" s="72">
        <f>+K365+Q365/2</f>
        <v>132.5</v>
      </c>
      <c r="L369" s="72"/>
      <c r="M369" s="72"/>
      <c r="N369" s="3" t="s">
        <v>0</v>
      </c>
      <c r="O369" s="3"/>
      <c r="P369" s="3"/>
      <c r="Q369" s="3"/>
      <c r="R369" s="3"/>
      <c r="S369" s="3"/>
      <c r="T369" s="3"/>
      <c r="U369" s="71">
        <f>+K369</f>
        <v>132.5</v>
      </c>
      <c r="V369" s="71"/>
      <c r="W369" s="71"/>
      <c r="X369" s="3" t="s">
        <v>0</v>
      </c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W369" s="3"/>
      <c r="AX369" s="3"/>
      <c r="AY369" s="3"/>
      <c r="AZ369" s="3"/>
      <c r="BA369" s="3"/>
      <c r="BB369" s="3"/>
      <c r="BC369" s="5"/>
    </row>
    <row r="370" spans="1:87" x14ac:dyDescent="0.2">
      <c r="A370" s="2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 t="s">
        <v>21</v>
      </c>
      <c r="AO370" s="26"/>
      <c r="AP370" s="26"/>
      <c r="AQ370" s="25"/>
      <c r="AU370" s="3"/>
      <c r="AV370" s="3"/>
      <c r="AW370" s="3"/>
      <c r="AX370" s="3"/>
      <c r="AY370" s="3"/>
      <c r="AZ370" s="3"/>
      <c r="BA370" s="3"/>
      <c r="BB370" s="3"/>
      <c r="BC370" s="5"/>
    </row>
    <row r="371" spans="1:87" x14ac:dyDescent="0.2">
      <c r="A371" s="2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71">
        <f>+K365+Q365+V365</f>
        <v>265</v>
      </c>
      <c r="R371" s="71"/>
      <c r="S371" s="3" t="s">
        <v>0</v>
      </c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U371" s="3"/>
      <c r="AV371" s="3"/>
      <c r="AW371" s="3"/>
      <c r="AX371" s="3"/>
      <c r="AY371" s="3"/>
      <c r="AZ371" s="3"/>
      <c r="BA371" s="3"/>
      <c r="BB371" s="3"/>
      <c r="BC371" s="5"/>
    </row>
    <row r="372" spans="1:87" ht="12" thickBot="1" x14ac:dyDescent="0.25">
      <c r="A372" s="23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5"/>
    </row>
    <row r="373" spans="1:87" ht="12" thickBot="1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</row>
    <row r="374" spans="1:87" ht="48.75" customHeight="1" x14ac:dyDescent="0.2">
      <c r="A374" s="18"/>
      <c r="B374" s="89" t="s">
        <v>30</v>
      </c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  <c r="AH374" s="85"/>
      <c r="AI374" s="85"/>
      <c r="AJ374" s="85"/>
      <c r="AK374" s="85"/>
      <c r="AL374" s="85"/>
      <c r="AM374" s="85"/>
      <c r="AN374" s="85"/>
      <c r="AO374" s="85"/>
      <c r="AP374" s="85"/>
      <c r="AQ374" s="85"/>
      <c r="AR374" s="85"/>
      <c r="AS374" s="85"/>
      <c r="AT374" s="85"/>
      <c r="AU374" s="85"/>
      <c r="AV374" s="85"/>
      <c r="AW374" s="85"/>
      <c r="AX374" s="85"/>
      <c r="AY374" s="85"/>
      <c r="AZ374" s="85"/>
      <c r="BA374" s="85"/>
      <c r="BB374" s="85"/>
      <c r="BC374" s="86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  <c r="CA374" s="17"/>
      <c r="CB374" s="17"/>
      <c r="CC374" s="17"/>
      <c r="CD374" s="17"/>
      <c r="CE374" s="17"/>
      <c r="CF374" s="17"/>
      <c r="CG374" s="17"/>
      <c r="CH374" s="17"/>
      <c r="CI374" s="17"/>
    </row>
    <row r="375" spans="1:87" x14ac:dyDescent="0.2">
      <c r="A375" s="5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16" t="s">
        <v>5</v>
      </c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18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  <c r="CA375" s="17"/>
      <c r="CB375" s="17"/>
      <c r="CC375" s="17"/>
      <c r="CD375" s="17"/>
      <c r="CE375" s="17"/>
      <c r="CF375" s="17"/>
      <c r="CG375" s="17"/>
      <c r="CH375" s="17"/>
      <c r="CI375" s="17"/>
    </row>
    <row r="376" spans="1:87" x14ac:dyDescent="0.2">
      <c r="A376" s="5"/>
      <c r="B376" s="2"/>
      <c r="C376" s="3"/>
      <c r="D376" s="3"/>
      <c r="E376" s="3"/>
      <c r="F376" s="3"/>
      <c r="G376" s="3"/>
      <c r="H376" s="3"/>
      <c r="I376" s="3"/>
      <c r="J376" s="3"/>
      <c r="K376" s="71">
        <f>+K410</f>
        <v>132.5</v>
      </c>
      <c r="L376" s="71"/>
      <c r="M376" s="71"/>
      <c r="N376" s="3" t="s">
        <v>0</v>
      </c>
      <c r="O376" s="3"/>
      <c r="P376" s="3"/>
      <c r="Q376" s="3"/>
      <c r="R376" s="3"/>
      <c r="S376" s="3"/>
      <c r="T376" s="3"/>
      <c r="U376" s="71">
        <f>+K376</f>
        <v>132.5</v>
      </c>
      <c r="V376" s="71"/>
      <c r="W376" s="71"/>
      <c r="X376" s="3" t="s">
        <v>0</v>
      </c>
      <c r="Y376" s="3"/>
      <c r="Z376" s="16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5"/>
    </row>
    <row r="377" spans="1:87" x14ac:dyDescent="0.2">
      <c r="A377" s="5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5"/>
    </row>
    <row r="378" spans="1:87" x14ac:dyDescent="0.2">
      <c r="A378" s="5"/>
      <c r="B378" s="2"/>
      <c r="C378" s="3"/>
      <c r="D378" s="3"/>
      <c r="E378" s="3"/>
      <c r="F378" s="3"/>
      <c r="G378" s="3"/>
      <c r="H378" s="71">
        <f>+K376-K378-O378</f>
        <v>16.794524203747685</v>
      </c>
      <c r="I378" s="71"/>
      <c r="J378" s="3" t="s">
        <v>0</v>
      </c>
      <c r="K378" s="71">
        <f>(N408*SIN((2*AO381*360/(2*PI()*N408))*PI()/180))*((AC386-(N408*COS((2*AO381*360/(2*PI()*N408))*PI()/180)))+((N408*COS((2*AO381*360/(2*PI()*N408))*PI()/180))-M391+S391+S393))/((N408*COS((2*AO381*360/(2*PI()*N408))*PI()/180))-M391+S391+S393)-O378</f>
        <v>63.053444012046285</v>
      </c>
      <c r="L378" s="71"/>
      <c r="M378" s="3" t="s">
        <v>0</v>
      </c>
      <c r="N378" s="3"/>
      <c r="O378" s="71">
        <f>((N408*SIN((AO381*360/(2*PI()*N408))*PI()/180))-Q388)/((N408*COS((AO381*360/(2*PI()*N408))*PI()/180))-M391)*(I408+N408-(N408*COS((AO381*360/(2*PI()*N408))*PI()/180)))+(N408*SIN((AO381*360/(2*PI()*N408))*PI()/180))</f>
        <v>52.652031784206031</v>
      </c>
      <c r="P378" s="71"/>
      <c r="Q378" s="3" t="s">
        <v>0</v>
      </c>
      <c r="R378" s="3"/>
      <c r="S378" s="71">
        <f>+O378</f>
        <v>52.652031784206031</v>
      </c>
      <c r="T378" s="71"/>
      <c r="U378" s="3" t="s">
        <v>0</v>
      </c>
      <c r="V378" s="71">
        <f>+K378</f>
        <v>63.053444012046285</v>
      </c>
      <c r="W378" s="71"/>
      <c r="X378" s="3" t="s">
        <v>0</v>
      </c>
      <c r="Z378" s="71">
        <f>+H378</f>
        <v>16.794524203747685</v>
      </c>
      <c r="AA378" s="71"/>
      <c r="AB378" s="3" t="s">
        <v>0</v>
      </c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5"/>
      <c r="BG378" s="27" t="s">
        <v>22</v>
      </c>
    </row>
    <row r="379" spans="1:87" x14ac:dyDescent="0.2">
      <c r="A379" s="5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5"/>
      <c r="BG379" s="3" t="s">
        <v>18</v>
      </c>
      <c r="BH379" s="3"/>
      <c r="BI379" s="3"/>
      <c r="BJ379" s="3"/>
      <c r="BK379" s="3"/>
      <c r="BL379" s="78">
        <v>3</v>
      </c>
      <c r="BM379" s="78"/>
      <c r="BN379" s="3" t="s">
        <v>10</v>
      </c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</row>
    <row r="380" spans="1:87" x14ac:dyDescent="0.2">
      <c r="A380" s="5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5"/>
      <c r="BG380" s="21" t="s">
        <v>6</v>
      </c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</row>
    <row r="381" spans="1:87" x14ac:dyDescent="0.2">
      <c r="A381" s="5"/>
      <c r="B381" s="2"/>
      <c r="C381" s="3"/>
      <c r="D381" s="3"/>
      <c r="E381" s="3"/>
      <c r="F381" s="3"/>
      <c r="G381" s="3"/>
      <c r="H381" s="28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30"/>
      <c r="AB381" s="3"/>
      <c r="AC381" s="3"/>
      <c r="AD381" s="3"/>
      <c r="AE381" s="3"/>
      <c r="AF381" s="3"/>
      <c r="AG381" s="3"/>
      <c r="AH381" s="3" t="s">
        <v>1</v>
      </c>
      <c r="AI381" s="3"/>
      <c r="AJ381" s="3"/>
      <c r="AK381" s="3"/>
      <c r="AL381" s="3"/>
      <c r="AM381" s="3"/>
      <c r="AN381" s="3"/>
      <c r="AO381" s="78">
        <v>30</v>
      </c>
      <c r="AP381" s="78"/>
      <c r="AQ381" s="3" t="s">
        <v>0</v>
      </c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5"/>
      <c r="BG381" s="3" t="s">
        <v>7</v>
      </c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</row>
    <row r="382" spans="1:87" x14ac:dyDescent="0.2">
      <c r="A382" s="5"/>
      <c r="B382" s="2"/>
      <c r="C382" s="3"/>
      <c r="D382" s="71">
        <f>+C392-D386-D391-D395-D398-D401-D403</f>
        <v>56.508806162728206</v>
      </c>
      <c r="E382" s="71"/>
      <c r="F382" s="3" t="s">
        <v>0</v>
      </c>
      <c r="G382" s="3"/>
      <c r="H382" s="31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3"/>
      <c r="AB382" s="3"/>
      <c r="AC382" s="3"/>
      <c r="AD382" s="3"/>
      <c r="AE382" s="3"/>
      <c r="AF382" s="3"/>
      <c r="AG382" s="3"/>
      <c r="AH382" s="3" t="s">
        <v>3</v>
      </c>
      <c r="AI382" s="3"/>
      <c r="AJ382" s="3"/>
      <c r="AK382" s="3"/>
      <c r="AL382" s="3"/>
      <c r="AM382" s="3"/>
      <c r="AN382" s="9">
        <v>18</v>
      </c>
      <c r="AO382" s="3" t="s">
        <v>4</v>
      </c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5"/>
      <c r="BG382" s="3" t="s">
        <v>8</v>
      </c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</row>
    <row r="383" spans="1:87" x14ac:dyDescent="0.2">
      <c r="A383" s="5"/>
      <c r="B383" s="2"/>
      <c r="C383" s="3"/>
      <c r="D383" s="3"/>
      <c r="E383" s="3"/>
      <c r="F383" s="3"/>
      <c r="G383" s="3"/>
      <c r="H383" s="31"/>
      <c r="I383" s="32"/>
      <c r="J383" s="32"/>
      <c r="K383" s="32"/>
      <c r="L383" s="32"/>
      <c r="M383" s="32"/>
      <c r="N383" s="32"/>
      <c r="O383" s="32"/>
      <c r="P383" s="32">
        <v>9</v>
      </c>
      <c r="Q383" s="32"/>
      <c r="R383" s="32"/>
      <c r="S383" s="32">
        <v>10</v>
      </c>
      <c r="T383" s="32"/>
      <c r="U383" s="32"/>
      <c r="V383" s="32">
        <v>11</v>
      </c>
      <c r="W383" s="32"/>
      <c r="X383" s="32"/>
      <c r="Y383" s="32"/>
      <c r="Z383" s="32"/>
      <c r="AA383" s="33"/>
      <c r="AB383" s="3"/>
      <c r="AC383" s="3"/>
      <c r="AD383" s="3"/>
      <c r="AE383" s="3"/>
      <c r="AF383" s="3"/>
      <c r="AG383" s="3"/>
      <c r="AH383" s="82">
        <f>O378*(AC397+M391-S391)/(AC386-M391+S391)</f>
        <v>49.93224168256566</v>
      </c>
      <c r="AI383" s="82"/>
      <c r="AJ383" s="82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5"/>
      <c r="BG383" s="3" t="s">
        <v>9</v>
      </c>
      <c r="BH383" s="3"/>
      <c r="BI383" s="71">
        <f>0.63-2*BI384</f>
        <v>0.29666666666666669</v>
      </c>
      <c r="BJ383" s="71"/>
      <c r="BK383" s="71"/>
      <c r="BL383" s="3" t="s">
        <v>10</v>
      </c>
      <c r="BM383" s="3" t="s">
        <v>11</v>
      </c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</row>
    <row r="384" spans="1:87" x14ac:dyDescent="0.2">
      <c r="A384" s="5"/>
      <c r="B384" s="2"/>
      <c r="C384" s="3"/>
      <c r="D384" s="3"/>
      <c r="E384" s="3"/>
      <c r="F384" s="3"/>
      <c r="G384" s="3"/>
      <c r="H384" s="31"/>
      <c r="I384" s="32"/>
      <c r="J384" s="32"/>
      <c r="K384" s="32"/>
      <c r="L384" s="32"/>
      <c r="M384" s="32">
        <v>8</v>
      </c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3"/>
      <c r="AB384" s="3"/>
      <c r="AC384" s="79" t="s">
        <v>0</v>
      </c>
      <c r="AD384" s="3"/>
      <c r="AE384" s="79" t="s">
        <v>0</v>
      </c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5"/>
      <c r="BG384" s="3" t="s">
        <v>12</v>
      </c>
      <c r="BH384" s="3"/>
      <c r="BI384" s="71">
        <f>BL379/BL385</f>
        <v>0.16666666666666666</v>
      </c>
      <c r="BJ384" s="71"/>
      <c r="BK384" s="71"/>
      <c r="BL384" s="3" t="s">
        <v>10</v>
      </c>
      <c r="BM384" s="3" t="s">
        <v>13</v>
      </c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</row>
    <row r="385" spans="1:77" x14ac:dyDescent="0.2">
      <c r="A385" s="5"/>
      <c r="B385" s="2"/>
      <c r="C385" s="3"/>
      <c r="D385" s="3"/>
      <c r="E385" s="3"/>
      <c r="F385" s="3"/>
      <c r="G385" s="3"/>
      <c r="H385" s="31"/>
      <c r="I385" s="32"/>
      <c r="J385" s="32"/>
      <c r="K385" s="32">
        <v>7</v>
      </c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>
        <v>12</v>
      </c>
      <c r="Y385" s="32"/>
      <c r="Z385" s="32"/>
      <c r="AA385" s="33"/>
      <c r="AB385" s="3"/>
      <c r="AC385" s="79"/>
      <c r="AD385" s="3"/>
      <c r="AE385" s="79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5"/>
      <c r="BG385" s="3" t="s">
        <v>14</v>
      </c>
      <c r="BH385" s="3"/>
      <c r="BI385" s="3"/>
      <c r="BJ385" s="3"/>
      <c r="BK385" s="3"/>
      <c r="BL385" s="72">
        <v>18</v>
      </c>
      <c r="BM385" s="72"/>
      <c r="BN385" s="3" t="s">
        <v>4</v>
      </c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</row>
    <row r="386" spans="1:77" x14ac:dyDescent="0.2">
      <c r="A386" s="5"/>
      <c r="B386" s="2"/>
      <c r="C386" s="3"/>
      <c r="D386" s="71">
        <f>((S396+S397+S398+S400+S401+S403)*(K410+3*AH383)/(3*AH383))-((S397+S398+S400+S401+S403)*(K410+4*AH383)/(4*AH383))</f>
        <v>49.048054750980583</v>
      </c>
      <c r="E386" s="71"/>
      <c r="F386" s="3" t="s">
        <v>0</v>
      </c>
      <c r="G386" s="3"/>
      <c r="H386" s="31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3"/>
      <c r="AB386" s="3"/>
      <c r="AC386" s="79">
        <f>+K406+Q406/2</f>
        <v>132.5</v>
      </c>
      <c r="AD386" s="3"/>
      <c r="AE386" s="79">
        <f>+C392-AE396</f>
        <v>120</v>
      </c>
      <c r="AF386" s="3"/>
      <c r="AG386" s="3"/>
      <c r="AH386" s="3"/>
      <c r="AI386" s="3"/>
      <c r="AJ386" s="3"/>
      <c r="AK386" s="3"/>
      <c r="AL386" s="3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23"/>
      <c r="BG386" s="3">
        <v>2</v>
      </c>
      <c r="BH386" s="22" t="s">
        <v>15</v>
      </c>
      <c r="BI386" s="71">
        <f>+BI384</f>
        <v>0.16666666666666666</v>
      </c>
      <c r="BJ386" s="71"/>
      <c r="BK386" s="71"/>
      <c r="BL386" s="22" t="s">
        <v>16</v>
      </c>
      <c r="BM386" s="71">
        <f>+BI383</f>
        <v>0.29666666666666669</v>
      </c>
      <c r="BN386" s="71"/>
      <c r="BO386" s="71"/>
      <c r="BP386" s="22" t="s">
        <v>17</v>
      </c>
      <c r="BQ386" s="71">
        <f>+BG386*BI386+BM386</f>
        <v>0.63</v>
      </c>
      <c r="BR386" s="71"/>
      <c r="BS386" s="71"/>
      <c r="BT386" s="3" t="s">
        <v>10</v>
      </c>
      <c r="BU386" s="3"/>
      <c r="BV386" s="16" t="str">
        <f>IF(BQ386=0.63,"uygun.","uygun değil.")</f>
        <v>uygun.</v>
      </c>
      <c r="BW386" s="3"/>
      <c r="BX386" s="3"/>
      <c r="BY386" s="3"/>
    </row>
    <row r="387" spans="1:77" x14ac:dyDescent="0.2">
      <c r="A387" s="5"/>
      <c r="B387" s="2"/>
      <c r="C387" s="3"/>
      <c r="D387" s="3"/>
      <c r="E387" s="3"/>
      <c r="F387" s="3"/>
      <c r="G387" s="3"/>
      <c r="H387" s="31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3"/>
      <c r="AB387" s="3"/>
      <c r="AC387" s="79"/>
      <c r="AD387" s="3"/>
      <c r="AE387" s="79"/>
      <c r="AF387" s="3"/>
      <c r="AG387" s="3"/>
      <c r="AH387" s="3"/>
      <c r="AI387" s="3"/>
      <c r="AJ387" s="3"/>
      <c r="AK387" s="3"/>
      <c r="AL387" s="3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23"/>
    </row>
    <row r="388" spans="1:77" x14ac:dyDescent="0.2">
      <c r="A388" s="5"/>
      <c r="B388" s="2"/>
      <c r="C388" s="3"/>
      <c r="D388" s="3"/>
      <c r="E388" s="3"/>
      <c r="F388" s="3"/>
      <c r="G388" s="3"/>
      <c r="H388" s="31"/>
      <c r="I388" s="32"/>
      <c r="J388" s="32"/>
      <c r="K388" s="32"/>
      <c r="L388" s="32"/>
      <c r="M388" s="32"/>
      <c r="N388" s="32"/>
      <c r="O388" s="32"/>
      <c r="P388" s="32"/>
      <c r="Q388" s="20">
        <v>10</v>
      </c>
      <c r="R388" s="32" t="s">
        <v>0</v>
      </c>
      <c r="S388" s="32"/>
      <c r="T388" s="32"/>
      <c r="U388" s="32"/>
      <c r="V388" s="32"/>
      <c r="W388" s="32"/>
      <c r="X388" s="32"/>
      <c r="Y388" s="32"/>
      <c r="Z388" s="32"/>
      <c r="AA388" s="33"/>
      <c r="AB388" s="3"/>
      <c r="AC388" s="79"/>
      <c r="AD388" s="3"/>
      <c r="AE388" s="79"/>
      <c r="AF388" s="3"/>
      <c r="AG388" s="3"/>
      <c r="AH388" s="3"/>
      <c r="AI388" s="3"/>
      <c r="AJ388" s="3"/>
      <c r="AK388" s="3"/>
      <c r="AL388" s="3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23"/>
    </row>
    <row r="389" spans="1:77" x14ac:dyDescent="0.2">
      <c r="A389" s="5"/>
      <c r="B389" s="2"/>
      <c r="C389" s="3"/>
      <c r="D389" s="3"/>
      <c r="E389" s="3"/>
      <c r="F389" s="3"/>
      <c r="G389" s="3"/>
      <c r="H389" s="31"/>
      <c r="I389" s="32"/>
      <c r="J389" s="32">
        <v>6</v>
      </c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>
        <v>13</v>
      </c>
      <c r="Z389" s="32"/>
      <c r="AA389" s="3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23"/>
      <c r="BG389" s="1" t="s">
        <v>19</v>
      </c>
    </row>
    <row r="390" spans="1:77" x14ac:dyDescent="0.2">
      <c r="A390" s="5"/>
      <c r="B390" s="2"/>
      <c r="C390" s="79" t="s">
        <v>0</v>
      </c>
      <c r="D390" s="3"/>
      <c r="E390" s="3"/>
      <c r="F390" s="3"/>
      <c r="G390" s="3"/>
      <c r="H390" s="31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23"/>
      <c r="BG390" s="4" t="s">
        <v>2</v>
      </c>
    </row>
    <row r="391" spans="1:77" x14ac:dyDescent="0.2">
      <c r="A391" s="5"/>
      <c r="B391" s="2"/>
      <c r="C391" s="79"/>
      <c r="D391" s="71">
        <f>5*AO381*(I408+N408+AH383*4)/(N408+AH383*4)-D403-D401-D398-D395</f>
        <v>40.71134594149504</v>
      </c>
      <c r="E391" s="71"/>
      <c r="F391" s="3" t="s">
        <v>0</v>
      </c>
      <c r="G391" s="3"/>
      <c r="H391" s="31"/>
      <c r="I391" s="32"/>
      <c r="J391" s="32"/>
      <c r="K391" s="32"/>
      <c r="L391" s="32"/>
      <c r="M391" s="74">
        <f>+Q406/2</f>
        <v>12.5</v>
      </c>
      <c r="N391" s="74"/>
      <c r="O391" s="32"/>
      <c r="P391" s="32"/>
      <c r="Q391" s="6"/>
      <c r="R391" s="7"/>
      <c r="S391" s="80">
        <f>((N408*COS((AO381*360/(2*PI()*N408))*PI()/180))-M391)*Q388/((N408*SIN((AO381*360/(2*PI()*N408))*PI()/180))-Q388)</f>
        <v>28.134650327358091</v>
      </c>
      <c r="T391" s="81"/>
      <c r="U391" s="74" t="s">
        <v>0</v>
      </c>
      <c r="V391" s="32"/>
      <c r="W391" s="32"/>
      <c r="X391" s="32"/>
      <c r="Y391" s="32"/>
      <c r="Z391" s="32"/>
      <c r="AA391" s="3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23"/>
    </row>
    <row r="392" spans="1:77" x14ac:dyDescent="0.2">
      <c r="A392" s="5"/>
      <c r="B392" s="2"/>
      <c r="C392" s="79">
        <f>+AC386+AC397</f>
        <v>288.61726630737002</v>
      </c>
      <c r="D392" s="3"/>
      <c r="E392" s="3"/>
      <c r="F392" s="3"/>
      <c r="G392" s="3"/>
      <c r="H392" s="31"/>
      <c r="I392" s="32"/>
      <c r="J392" s="32"/>
      <c r="K392" s="32"/>
      <c r="L392" s="32"/>
      <c r="M392" s="32"/>
      <c r="N392" s="32"/>
      <c r="O392" s="32"/>
      <c r="P392" s="32"/>
      <c r="Q392" s="8"/>
      <c r="R392" s="10"/>
      <c r="S392" s="80"/>
      <c r="T392" s="81"/>
      <c r="U392" s="74"/>
      <c r="V392" s="32"/>
      <c r="W392" s="32"/>
      <c r="X392" s="32"/>
      <c r="Y392" s="32"/>
      <c r="Z392" s="32"/>
      <c r="AA392" s="3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23"/>
      <c r="BG392" s="1" t="s">
        <v>20</v>
      </c>
    </row>
    <row r="393" spans="1:77" x14ac:dyDescent="0.2">
      <c r="A393" s="5"/>
      <c r="B393" s="2"/>
      <c r="C393" s="79"/>
      <c r="D393" s="3"/>
      <c r="E393" s="3"/>
      <c r="F393" s="3"/>
      <c r="G393" s="3"/>
      <c r="H393" s="31"/>
      <c r="I393" s="32"/>
      <c r="J393" s="32">
        <v>5</v>
      </c>
      <c r="K393" s="32"/>
      <c r="L393" s="32"/>
      <c r="M393" s="32"/>
      <c r="N393" s="32"/>
      <c r="O393" s="32"/>
      <c r="P393" s="32"/>
      <c r="Q393" s="8"/>
      <c r="R393" s="10"/>
      <c r="S393" s="73">
        <f>(N408*SIN((2*AO381*360/(2*PI()*N408))*PI()/180))*((N408*COS((2*AO381*360/(2*PI()*N408))*PI()/180))+AC397)/((N408*SIN((2*AO381*360/(2*PI()*N408))*PI()/180))+2*AH383)-(N408*COS((2*AO381*360/(2*PI()*N408))*PI()/180))+M391-S391</f>
        <v>6.7783915965747461</v>
      </c>
      <c r="T393" s="74"/>
      <c r="U393" s="74" t="s">
        <v>0</v>
      </c>
      <c r="V393" s="32"/>
      <c r="W393" s="32"/>
      <c r="X393" s="32"/>
      <c r="Y393" s="32">
        <v>14</v>
      </c>
      <c r="Z393" s="32"/>
      <c r="AA393" s="3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23"/>
    </row>
    <row r="394" spans="1:77" x14ac:dyDescent="0.2">
      <c r="A394" s="5"/>
      <c r="B394" s="2"/>
      <c r="C394" s="79"/>
      <c r="D394" s="3"/>
      <c r="E394" s="3"/>
      <c r="F394" s="3"/>
      <c r="G394" s="3"/>
      <c r="H394" s="31"/>
      <c r="I394" s="32"/>
      <c r="J394" s="32"/>
      <c r="K394" s="32"/>
      <c r="L394" s="32"/>
      <c r="M394" s="32"/>
      <c r="N394" s="32"/>
      <c r="O394" s="32"/>
      <c r="P394" s="32"/>
      <c r="Q394" s="8"/>
      <c r="R394" s="10"/>
      <c r="S394" s="73"/>
      <c r="T394" s="74"/>
      <c r="U394" s="74"/>
      <c r="V394" s="32"/>
      <c r="W394" s="32"/>
      <c r="X394" s="32"/>
      <c r="Y394" s="32"/>
      <c r="Z394" s="32"/>
      <c r="AA394" s="33"/>
      <c r="AB394" s="3"/>
      <c r="AC394" s="3"/>
      <c r="AD394" s="3"/>
      <c r="AE394" s="79" t="s">
        <v>0</v>
      </c>
      <c r="AF394" s="3"/>
      <c r="AG394" s="3"/>
      <c r="AH394" s="3"/>
      <c r="AI394" s="3"/>
      <c r="AJ394" s="3"/>
      <c r="AK394" s="3"/>
      <c r="AL394" s="3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23"/>
    </row>
    <row r="395" spans="1:77" x14ac:dyDescent="0.2">
      <c r="A395" s="5"/>
      <c r="B395" s="2"/>
      <c r="D395" s="71">
        <f>4*AO381*(I408+N408+AH383*5)/(N408+AH383*5)-D403-D401-D398</f>
        <v>37.836576099891118</v>
      </c>
      <c r="E395" s="71"/>
      <c r="F395" s="3" t="s">
        <v>0</v>
      </c>
      <c r="G395" s="3"/>
      <c r="H395" s="31"/>
      <c r="I395" s="32"/>
      <c r="J395" s="32"/>
      <c r="K395" s="32"/>
      <c r="L395" s="32"/>
      <c r="M395" s="32"/>
      <c r="N395" s="32"/>
      <c r="O395" s="32"/>
      <c r="P395" s="32"/>
      <c r="Q395" s="8"/>
      <c r="R395" s="10"/>
      <c r="S395" s="73">
        <f>(N408*SIN((3*AO381*360/(2*PI()*N408))*PI()/180))*((N408*COS((3*AO381*360/(2*PI()*N408))*PI()/180))+AC397)/((N408*SIN((3*AO381*360/(2*PI()*N408))*PI()/180))+3*AH383)-(N408*COS((3*AO381*360/(2*PI()*N408))*PI()/180))-S393+M391-S391</f>
        <v>10.539185257826897</v>
      </c>
      <c r="T395" s="74"/>
      <c r="U395" s="32" t="s">
        <v>0</v>
      </c>
      <c r="V395" s="32"/>
      <c r="W395" s="32"/>
      <c r="X395" s="32"/>
      <c r="Y395" s="32"/>
      <c r="Z395" s="32"/>
      <c r="AA395" s="33"/>
      <c r="AB395" s="3"/>
      <c r="AC395" s="79" t="s">
        <v>0</v>
      </c>
      <c r="AD395" s="3"/>
      <c r="AE395" s="79"/>
      <c r="AF395" s="3"/>
      <c r="AG395" s="3"/>
      <c r="AH395" s="3"/>
      <c r="AI395" s="3"/>
      <c r="AJ395" s="3"/>
      <c r="AK395" s="3"/>
      <c r="AL395" s="3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23"/>
    </row>
    <row r="396" spans="1:77" x14ac:dyDescent="0.2">
      <c r="A396" s="5"/>
      <c r="B396" s="2"/>
      <c r="C396" s="3"/>
      <c r="D396" s="3"/>
      <c r="E396" s="3"/>
      <c r="F396" s="3"/>
      <c r="G396" s="3"/>
      <c r="H396" s="31"/>
      <c r="I396" s="32"/>
      <c r="J396" s="32">
        <v>4</v>
      </c>
      <c r="K396" s="32"/>
      <c r="L396" s="32"/>
      <c r="M396" s="32"/>
      <c r="N396" s="32"/>
      <c r="O396" s="32"/>
      <c r="P396" s="32"/>
      <c r="Q396" s="8"/>
      <c r="R396" s="10"/>
      <c r="S396" s="73">
        <f>+AC397+M391-S391-S393-S395-S397-S398-S400-S401-S403</f>
        <v>13.113028976284255</v>
      </c>
      <c r="T396" s="74"/>
      <c r="U396" s="32" t="s">
        <v>0</v>
      </c>
      <c r="V396" s="32"/>
      <c r="W396" s="32"/>
      <c r="X396" s="32"/>
      <c r="Y396" s="32">
        <v>15</v>
      </c>
      <c r="Z396" s="32"/>
      <c r="AA396" s="33"/>
      <c r="AB396" s="3"/>
      <c r="AC396" s="79"/>
      <c r="AD396" s="3"/>
      <c r="AE396" s="79">
        <f>+AC397+M391</f>
        <v>168.61726630737002</v>
      </c>
      <c r="AF396" s="3"/>
      <c r="AG396" s="3"/>
      <c r="AH396" s="3"/>
      <c r="AI396" s="3"/>
      <c r="AJ396" s="3"/>
      <c r="AK396" s="3"/>
      <c r="AL396" s="3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23"/>
    </row>
    <row r="397" spans="1:77" x14ac:dyDescent="0.2">
      <c r="A397" s="5"/>
      <c r="B397" s="2"/>
      <c r="C397" s="3"/>
      <c r="D397" s="3"/>
      <c r="E397" s="3"/>
      <c r="F397" s="3"/>
      <c r="G397" s="3"/>
      <c r="H397" s="31"/>
      <c r="I397" s="32"/>
      <c r="J397" s="32"/>
      <c r="K397" s="32"/>
      <c r="L397" s="32"/>
      <c r="M397" s="32"/>
      <c r="N397" s="32"/>
      <c r="O397" s="32"/>
      <c r="P397" s="32"/>
      <c r="Q397" s="8"/>
      <c r="R397" s="10"/>
      <c r="S397" s="73">
        <f>5*AO381-((D403+D401+D398+D395+D391)-5*AO381)*N408/I408-S403-S401-S400-S398</f>
        <v>17.057123654026839</v>
      </c>
      <c r="T397" s="74"/>
      <c r="U397" s="32" t="s">
        <v>0</v>
      </c>
      <c r="V397" s="32"/>
      <c r="W397" s="32"/>
      <c r="X397" s="32"/>
      <c r="Y397" s="32"/>
      <c r="Z397" s="32"/>
      <c r="AA397" s="33"/>
      <c r="AB397" s="3"/>
      <c r="AC397" s="79">
        <f>(9*AO381)-(2*PI()*N408*90/360)</f>
        <v>156.11726630737002</v>
      </c>
      <c r="AD397" s="3"/>
      <c r="AE397" s="79"/>
      <c r="AF397" s="3"/>
      <c r="AG397" s="3"/>
      <c r="AH397" s="3"/>
      <c r="AI397" s="3"/>
      <c r="AJ397" s="3"/>
      <c r="AK397" s="3"/>
      <c r="AL397" s="3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23"/>
    </row>
    <row r="398" spans="1:77" x14ac:dyDescent="0.2">
      <c r="A398" s="5"/>
      <c r="B398" s="2"/>
      <c r="C398" s="3"/>
      <c r="D398" s="71">
        <f>3*AO381*(I408+N408+AH383*6)/(N408+AH383*6)-D403-D401</f>
        <v>35.982196997353185</v>
      </c>
      <c r="E398" s="71"/>
      <c r="F398" s="3" t="s">
        <v>0</v>
      </c>
      <c r="G398" s="3"/>
      <c r="H398" s="31"/>
      <c r="I398" s="32"/>
      <c r="J398" s="32">
        <v>3</v>
      </c>
      <c r="K398" s="32"/>
      <c r="L398" s="32"/>
      <c r="M398" s="32"/>
      <c r="N398" s="32"/>
      <c r="O398" s="32"/>
      <c r="P398" s="32"/>
      <c r="Q398" s="8"/>
      <c r="R398" s="10"/>
      <c r="S398" s="73">
        <f>4*AO381-((D403+D401+D398+D395)-4*AO381)*N408/I408-S403-S401-S400</f>
        <v>20.530803879298233</v>
      </c>
      <c r="T398" s="74"/>
      <c r="U398" s="74" t="s">
        <v>0</v>
      </c>
      <c r="V398" s="32"/>
      <c r="W398" s="32"/>
      <c r="X398" s="32"/>
      <c r="Y398" s="32">
        <v>16</v>
      </c>
      <c r="Z398" s="32"/>
      <c r="AA398" s="33"/>
      <c r="AB398" s="3"/>
      <c r="AC398" s="79"/>
      <c r="AD398" s="3"/>
      <c r="AE398" s="79"/>
      <c r="AF398" s="3"/>
      <c r="AG398" s="3"/>
      <c r="AH398" s="3"/>
      <c r="AI398" s="3"/>
      <c r="AJ398" s="3"/>
      <c r="AK398" s="3"/>
      <c r="AL398" s="3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23"/>
    </row>
    <row r="399" spans="1:77" x14ac:dyDescent="0.2">
      <c r="A399" s="5"/>
      <c r="B399" s="2"/>
      <c r="C399" s="3"/>
      <c r="D399" s="3"/>
      <c r="E399" s="3"/>
      <c r="F399" s="3"/>
      <c r="G399" s="3"/>
      <c r="H399" s="31"/>
      <c r="I399" s="32"/>
      <c r="J399" s="32"/>
      <c r="K399" s="32"/>
      <c r="L399" s="32"/>
      <c r="M399" s="32"/>
      <c r="N399" s="32"/>
      <c r="O399" s="32"/>
      <c r="P399" s="32"/>
      <c r="Q399" s="8"/>
      <c r="R399" s="10"/>
      <c r="S399" s="73"/>
      <c r="T399" s="74"/>
      <c r="U399" s="74"/>
      <c r="V399" s="32"/>
      <c r="W399" s="32"/>
      <c r="X399" s="32"/>
      <c r="Y399" s="32"/>
      <c r="Z399" s="32"/>
      <c r="AA399" s="33"/>
      <c r="AB399" s="3"/>
      <c r="AC399" s="79"/>
      <c r="AD399" s="3"/>
      <c r="AE399" s="3"/>
      <c r="AF399" s="3"/>
      <c r="AG399" s="3"/>
      <c r="AH399" s="3"/>
      <c r="AI399" s="3"/>
      <c r="AJ399" s="3"/>
      <c r="AK399" s="3"/>
      <c r="AL399" s="3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23"/>
    </row>
    <row r="400" spans="1:77" x14ac:dyDescent="0.2">
      <c r="A400" s="5"/>
      <c r="B400" s="2"/>
      <c r="C400" s="3"/>
      <c r="D400" s="3"/>
      <c r="E400" s="3"/>
      <c r="F400" s="3"/>
      <c r="G400" s="3"/>
      <c r="H400" s="31"/>
      <c r="I400" s="32"/>
      <c r="J400" s="32"/>
      <c r="K400" s="32"/>
      <c r="L400" s="32"/>
      <c r="M400" s="32"/>
      <c r="N400" s="32"/>
      <c r="O400" s="32"/>
      <c r="P400" s="32"/>
      <c r="Q400" s="8"/>
      <c r="R400" s="10"/>
      <c r="S400" s="73">
        <f>3*AO381-((D403+D401+D398)-3*AO381)*N408/I408-S403-S401</f>
        <v>22.771511961531559</v>
      </c>
      <c r="T400" s="74"/>
      <c r="U400" s="32" t="s">
        <v>0</v>
      </c>
      <c r="V400" s="32"/>
      <c r="W400" s="32"/>
      <c r="X400" s="32"/>
      <c r="Y400" s="32"/>
      <c r="Z400" s="32"/>
      <c r="AA400" s="3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5"/>
    </row>
    <row r="401" spans="1:87" x14ac:dyDescent="0.2">
      <c r="A401" s="5"/>
      <c r="B401" s="2"/>
      <c r="C401" s="3"/>
      <c r="D401" s="71">
        <f>2*AO381*(I408+N408+AH383*7)/(N408+AH383*7)-D403</f>
        <v>34.716387122840104</v>
      </c>
      <c r="E401" s="71"/>
      <c r="F401" s="3" t="s">
        <v>0</v>
      </c>
      <c r="G401" s="3"/>
      <c r="H401" s="31"/>
      <c r="I401" s="32"/>
      <c r="J401" s="32">
        <v>2</v>
      </c>
      <c r="K401" s="32"/>
      <c r="L401" s="32"/>
      <c r="M401" s="32"/>
      <c r="N401" s="32"/>
      <c r="O401" s="32"/>
      <c r="P401" s="32"/>
      <c r="Q401" s="8"/>
      <c r="R401" s="10"/>
      <c r="S401" s="73">
        <f>2*AO381-((D403+D401)-2*AO381)*N408/I408-S403</f>
        <v>24.301032226568211</v>
      </c>
      <c r="T401" s="74"/>
      <c r="U401" s="74" t="s">
        <v>0</v>
      </c>
      <c r="V401" s="32"/>
      <c r="W401" s="32"/>
      <c r="X401" s="32"/>
      <c r="Y401" s="32">
        <v>17</v>
      </c>
      <c r="Z401" s="32"/>
      <c r="AA401" s="3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5"/>
    </row>
    <row r="402" spans="1:87" x14ac:dyDescent="0.2">
      <c r="A402" s="5"/>
      <c r="B402" s="2"/>
      <c r="C402" s="3"/>
      <c r="D402" s="3"/>
      <c r="E402" s="3"/>
      <c r="F402" s="3"/>
      <c r="G402" s="3"/>
      <c r="H402" s="31"/>
      <c r="I402" s="32"/>
      <c r="J402" s="32"/>
      <c r="K402" s="32"/>
      <c r="L402" s="32"/>
      <c r="M402" s="32"/>
      <c r="N402" s="32"/>
      <c r="O402" s="32"/>
      <c r="P402" s="32"/>
      <c r="Q402" s="8"/>
      <c r="R402" s="10"/>
      <c r="S402" s="73"/>
      <c r="T402" s="74"/>
      <c r="U402" s="74"/>
      <c r="V402" s="32"/>
      <c r="W402" s="32"/>
      <c r="X402" s="32"/>
      <c r="Y402" s="32"/>
      <c r="Z402" s="32"/>
      <c r="AA402" s="3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5"/>
    </row>
    <row r="403" spans="1:87" x14ac:dyDescent="0.2">
      <c r="A403" s="5"/>
      <c r="B403" s="2"/>
      <c r="C403" s="3"/>
      <c r="D403" s="71">
        <f>AO381*(I408+N408+AH383*8)/(N408+AH383*8)</f>
        <v>33.813899232081781</v>
      </c>
      <c r="E403" s="71"/>
      <c r="F403" s="3" t="s">
        <v>0</v>
      </c>
      <c r="G403" s="3"/>
      <c r="H403" s="31"/>
      <c r="I403" s="32"/>
      <c r="J403" s="32">
        <v>1</v>
      </c>
      <c r="K403" s="32"/>
      <c r="L403" s="32"/>
      <c r="M403" s="32"/>
      <c r="N403" s="32"/>
      <c r="O403" s="32"/>
      <c r="P403" s="32"/>
      <c r="Q403" s="8"/>
      <c r="R403" s="10"/>
      <c r="S403" s="73">
        <f>AO381-(D403-AO381)*N408/I408</f>
        <v>25.391538427901182</v>
      </c>
      <c r="T403" s="74"/>
      <c r="U403" s="74" t="s">
        <v>0</v>
      </c>
      <c r="V403" s="32"/>
      <c r="W403" s="32"/>
      <c r="X403" s="32"/>
      <c r="Y403" s="32">
        <v>18</v>
      </c>
      <c r="Z403" s="32"/>
      <c r="AA403" s="3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5"/>
    </row>
    <row r="404" spans="1:87" x14ac:dyDescent="0.2">
      <c r="A404" s="5"/>
      <c r="B404" s="2"/>
      <c r="C404" s="3"/>
      <c r="D404" s="3"/>
      <c r="E404" s="3"/>
      <c r="F404" s="3"/>
      <c r="G404" s="3"/>
      <c r="H404" s="35"/>
      <c r="I404" s="36"/>
      <c r="J404" s="36"/>
      <c r="K404" s="36"/>
      <c r="L404" s="36"/>
      <c r="M404" s="36"/>
      <c r="N404" s="36"/>
      <c r="O404" s="36"/>
      <c r="P404" s="36"/>
      <c r="Q404" s="11"/>
      <c r="R404" s="12"/>
      <c r="S404" s="75"/>
      <c r="T404" s="76"/>
      <c r="U404" s="76"/>
      <c r="V404" s="36"/>
      <c r="W404" s="36"/>
      <c r="X404" s="36"/>
      <c r="Y404" s="36"/>
      <c r="Z404" s="36"/>
      <c r="AA404" s="37"/>
      <c r="AB404" s="3"/>
      <c r="AC404" s="3"/>
      <c r="AD404" s="3"/>
      <c r="AE404" s="3"/>
      <c r="AF404" s="3"/>
      <c r="AG404" s="3"/>
      <c r="AH404" s="3"/>
      <c r="AI404" s="3"/>
      <c r="AJ404" s="3" t="s">
        <v>9</v>
      </c>
      <c r="AK404" s="3"/>
      <c r="AL404" s="71">
        <f>+AO381</f>
        <v>30</v>
      </c>
      <c r="AM404" s="71"/>
      <c r="AN404" s="3" t="s">
        <v>0</v>
      </c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5"/>
    </row>
    <row r="405" spans="1:87" x14ac:dyDescent="0.2">
      <c r="A405" s="5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5"/>
    </row>
    <row r="406" spans="1:87" x14ac:dyDescent="0.2">
      <c r="A406" s="5"/>
      <c r="B406" s="2"/>
      <c r="C406" s="3"/>
      <c r="D406" s="3"/>
      <c r="E406" s="3"/>
      <c r="F406" s="3"/>
      <c r="G406" s="3"/>
      <c r="H406" s="3"/>
      <c r="I406" s="3"/>
      <c r="J406" s="3"/>
      <c r="K406" s="78">
        <v>120</v>
      </c>
      <c r="L406" s="78"/>
      <c r="M406" s="3" t="s">
        <v>0</v>
      </c>
      <c r="N406" s="3"/>
      <c r="O406" s="3"/>
      <c r="P406" s="3"/>
      <c r="Q406" s="78">
        <v>25</v>
      </c>
      <c r="R406" s="78"/>
      <c r="S406" s="3" t="s">
        <v>0</v>
      </c>
      <c r="T406" s="3"/>
      <c r="U406" s="3"/>
      <c r="V406" s="71">
        <f>+K406</f>
        <v>120</v>
      </c>
      <c r="W406" s="71"/>
      <c r="X406" s="3" t="s">
        <v>0</v>
      </c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5"/>
    </row>
    <row r="407" spans="1:87" x14ac:dyDescent="0.2">
      <c r="A407" s="5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5"/>
    </row>
    <row r="408" spans="1:87" x14ac:dyDescent="0.2">
      <c r="A408" s="5"/>
      <c r="B408" s="2"/>
      <c r="C408" s="3"/>
      <c r="D408" s="3"/>
      <c r="E408" s="3"/>
      <c r="F408" s="3"/>
      <c r="G408" s="3"/>
      <c r="H408" s="3"/>
      <c r="I408" s="71">
        <f>+K406/2</f>
        <v>60</v>
      </c>
      <c r="J408" s="71"/>
      <c r="K408" s="3" t="s">
        <v>0</v>
      </c>
      <c r="L408" s="3"/>
      <c r="M408" s="3"/>
      <c r="N408" s="71">
        <f>+K406/2+Q406/2</f>
        <v>72.5</v>
      </c>
      <c r="O408" s="71"/>
      <c r="P408" s="3" t="s">
        <v>0</v>
      </c>
      <c r="Q408" s="3"/>
      <c r="R408" s="3"/>
      <c r="S408" s="3"/>
      <c r="T408" s="71">
        <f>+V406/2+Q406/2</f>
        <v>72.5</v>
      </c>
      <c r="U408" s="71"/>
      <c r="V408" s="3" t="s">
        <v>0</v>
      </c>
      <c r="W408" s="3"/>
      <c r="X408" s="3"/>
      <c r="Y408" s="71">
        <f>+V406/2</f>
        <v>60</v>
      </c>
      <c r="Z408" s="71"/>
      <c r="AA408" s="3" t="s">
        <v>0</v>
      </c>
      <c r="AB408" s="3"/>
      <c r="AC408" s="3"/>
      <c r="AD408" s="3"/>
      <c r="AE408" s="3"/>
      <c r="AF408" s="3"/>
      <c r="AG408" s="3"/>
      <c r="AH408" s="3"/>
      <c r="AI408" s="3"/>
      <c r="AJ408" s="3" t="s">
        <v>21</v>
      </c>
      <c r="AK408" s="3"/>
      <c r="AL408" s="3"/>
      <c r="AM408" s="3"/>
      <c r="AN408" s="3"/>
      <c r="AO408" s="3"/>
      <c r="AP408" s="38"/>
      <c r="AQ408" s="38"/>
      <c r="AR408" s="9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5"/>
    </row>
    <row r="409" spans="1:87" x14ac:dyDescent="0.2">
      <c r="A409" s="5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5"/>
    </row>
    <row r="410" spans="1:87" x14ac:dyDescent="0.2">
      <c r="A410" s="5"/>
      <c r="B410" s="2"/>
      <c r="C410" s="3"/>
      <c r="D410" s="3"/>
      <c r="E410" s="3"/>
      <c r="F410" s="3"/>
      <c r="G410" s="3"/>
      <c r="H410" s="3"/>
      <c r="I410" s="3"/>
      <c r="J410" s="3"/>
      <c r="K410" s="72">
        <f>+K406+Q406/2</f>
        <v>132.5</v>
      </c>
      <c r="L410" s="72"/>
      <c r="M410" s="72"/>
      <c r="N410" s="3" t="s">
        <v>0</v>
      </c>
      <c r="O410" s="3"/>
      <c r="P410" s="3"/>
      <c r="Q410" s="3"/>
      <c r="R410" s="3"/>
      <c r="S410" s="3"/>
      <c r="T410" s="3"/>
      <c r="U410" s="71">
        <f>+K410</f>
        <v>132.5</v>
      </c>
      <c r="V410" s="71"/>
      <c r="W410" s="71"/>
      <c r="X410" s="3" t="s">
        <v>0</v>
      </c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5"/>
    </row>
    <row r="411" spans="1:87" x14ac:dyDescent="0.2">
      <c r="A411" s="5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5"/>
    </row>
    <row r="412" spans="1:87" x14ac:dyDescent="0.2">
      <c r="A412" s="5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71">
        <f>+K406+Q406+V406</f>
        <v>265</v>
      </c>
      <c r="R412" s="71"/>
      <c r="S412" s="3" t="s">
        <v>0</v>
      </c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5"/>
    </row>
    <row r="413" spans="1:87" ht="12" thickBot="1" x14ac:dyDescent="0.25">
      <c r="A413" s="5"/>
      <c r="B413" s="13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5"/>
    </row>
    <row r="414" spans="1:87" ht="12" thickBo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87" ht="48.75" customHeight="1" x14ac:dyDescent="0.2">
      <c r="A415" s="18"/>
      <c r="B415" s="85" t="s">
        <v>29</v>
      </c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85"/>
      <c r="AP415" s="85"/>
      <c r="AQ415" s="85"/>
      <c r="AR415" s="85"/>
      <c r="AS415" s="85"/>
      <c r="AT415" s="85"/>
      <c r="AU415" s="85"/>
      <c r="AV415" s="85"/>
      <c r="AW415" s="85"/>
      <c r="AX415" s="85"/>
      <c r="AY415" s="85"/>
      <c r="AZ415" s="85"/>
      <c r="BA415" s="85"/>
      <c r="BB415" s="85"/>
      <c r="BC415" s="86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7"/>
      <c r="BT415" s="17"/>
      <c r="BU415" s="17"/>
      <c r="BV415" s="17"/>
      <c r="BW415" s="17"/>
      <c r="BX415" s="17"/>
      <c r="BY415" s="17"/>
      <c r="BZ415" s="17"/>
      <c r="CA415" s="17"/>
      <c r="CB415" s="17"/>
      <c r="CC415" s="17"/>
      <c r="CD415" s="17"/>
      <c r="CE415" s="17"/>
      <c r="CF415" s="17"/>
      <c r="CG415" s="17"/>
      <c r="CH415" s="17"/>
      <c r="CI415" s="17"/>
    </row>
    <row r="416" spans="1:87" x14ac:dyDescent="0.2">
      <c r="A416" s="23"/>
      <c r="B416" s="3"/>
      <c r="C416" s="3"/>
      <c r="D416" s="3"/>
      <c r="E416" s="3"/>
      <c r="F416" s="3"/>
      <c r="G416" s="3"/>
      <c r="H416" s="3"/>
      <c r="I416" s="3"/>
      <c r="J416" s="3"/>
      <c r="K416" s="3"/>
      <c r="N416" s="3"/>
      <c r="O416" s="3"/>
      <c r="P416" s="3"/>
      <c r="Q416" s="3"/>
      <c r="R416" s="3"/>
      <c r="S416" s="3"/>
      <c r="T416" s="3"/>
      <c r="U416" s="3"/>
      <c r="X416" s="3"/>
      <c r="Y416" s="3"/>
      <c r="Z416" s="16" t="s">
        <v>5</v>
      </c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18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7"/>
      <c r="BS416" s="17"/>
      <c r="BT416" s="17"/>
      <c r="BU416" s="17"/>
      <c r="BV416" s="17"/>
      <c r="BW416" s="17"/>
      <c r="BX416" s="17"/>
      <c r="BY416" s="17"/>
      <c r="BZ416" s="17"/>
      <c r="CA416" s="17"/>
      <c r="CB416" s="17"/>
      <c r="CC416" s="17"/>
      <c r="CD416" s="17"/>
      <c r="CE416" s="17"/>
      <c r="CF416" s="17"/>
      <c r="CG416" s="17"/>
      <c r="CH416" s="17"/>
      <c r="CI416" s="17"/>
    </row>
    <row r="417" spans="1:77" x14ac:dyDescent="0.2">
      <c r="A417" s="23"/>
      <c r="B417" s="3"/>
      <c r="C417" s="3"/>
      <c r="D417" s="3"/>
      <c r="E417" s="3"/>
      <c r="F417" s="3"/>
      <c r="G417" s="3"/>
      <c r="H417" s="3"/>
      <c r="I417" s="3"/>
      <c r="J417" s="3"/>
      <c r="K417" s="71">
        <f>+K450</f>
        <v>132.5</v>
      </c>
      <c r="L417" s="71"/>
      <c r="M417" s="71"/>
      <c r="N417" s="3" t="s">
        <v>0</v>
      </c>
      <c r="O417" s="3"/>
      <c r="P417" s="3"/>
      <c r="Q417" s="3"/>
      <c r="R417" s="3"/>
      <c r="S417" s="3"/>
      <c r="T417" s="3"/>
      <c r="U417" s="71">
        <f>+K417</f>
        <v>132.5</v>
      </c>
      <c r="V417" s="71"/>
      <c r="W417" s="71"/>
      <c r="X417" s="3" t="s">
        <v>0</v>
      </c>
      <c r="Y417" s="3"/>
      <c r="Z417" s="16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5"/>
    </row>
    <row r="418" spans="1:77" x14ac:dyDescent="0.2">
      <c r="A418" s="23"/>
      <c r="B418" s="3"/>
      <c r="C418" s="3"/>
      <c r="F418" s="3"/>
      <c r="G418" s="3"/>
      <c r="H418" s="3"/>
      <c r="I418" s="3"/>
      <c r="J418" s="3"/>
      <c r="K418" s="3"/>
      <c r="L418" s="3"/>
      <c r="Q418" s="3"/>
      <c r="R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5"/>
    </row>
    <row r="419" spans="1:77" x14ac:dyDescent="0.2">
      <c r="A419" s="23"/>
      <c r="B419" s="3"/>
      <c r="C419" s="3"/>
      <c r="D419" s="3"/>
      <c r="E419" s="3"/>
      <c r="F419" s="3"/>
      <c r="G419" s="71">
        <f>+K417-M419-P419-J419</f>
        <v>3.0365038655392311</v>
      </c>
      <c r="H419" s="71"/>
      <c r="I419" s="1" t="s">
        <v>0</v>
      </c>
      <c r="J419" s="71">
        <f>(N448*SIN((2.5*AQ419*360/(2*PI()*N448))*PI()/180))*((I448+N448-(N448*COS((2.5*AQ419*360/(2*PI()*N448))*PI()/180)))+((N448*SIN((2.5*AQ419*360/(2*PI()*N448))*PI()/180))*((N448*COS((2.5*AQ419*360/(2*PI()*N448))*PI()/180))+AC438)/((N448*SIN((2.5*AQ419*360/(2*PI()*N448))*PI()/180))+3*AJ421)))/((N448*SIN((2.5*AQ419*360/(2*PI()*N448))*PI()/180))*((N448*COS((2.5*AQ419*360/(2*PI()*N448))*PI()/180))+AC438)/((N448*SIN((2.5*AQ419*360/(2*PI()*N448))*PI()/180))+3*AJ421))-P419-M419</f>
        <v>56.372207272867669</v>
      </c>
      <c r="K419" s="71"/>
      <c r="L419" s="1" t="s">
        <v>0</v>
      </c>
      <c r="M419" s="71">
        <f>(N448*SIN((1.5*AQ419*360/(2*PI()*N448))*PI()/180))*((I448+N448-(N448*COS((1.5*AQ419*360/(2*PI()*N448))*PI()/180)))+((N448*SIN((1.5*AQ419*360/(2*PI()*N448))*PI()/180))*((N448*COS((1.5*AQ419*360/(2*PI()*N448))*PI()/180))+AC438)/((N448*SIN((1.5*AQ419*360/(2*PI()*N448))*PI()/180))+2*AJ421)))/((N448*SIN((1.5*AQ419*360/(2*PI()*N448))*PI()/180))*((N448*COS((1.5*AQ419*360/(2*PI()*N448))*PI()/180))+AC438)/((N448*SIN((1.5*AQ419*360/(2*PI()*N448))*PI()/180))+2*AJ421))-P419</f>
        <v>47.781479464156916</v>
      </c>
      <c r="N419" s="71"/>
      <c r="O419" s="1" t="s">
        <v>0</v>
      </c>
      <c r="P419" s="71">
        <f>((N448*SIN((AQ419/2*360/(2*PI()*N448))*PI()/180))-Q429)*(I448-((N448*COS((AQ419/2*360/(2*PI()*N448))*PI()/180))-M432)+I448)/((N448*COS((AQ419/2*360/(2*PI()*N448))*PI()/180))-M432)+(N448*SIN((AQ419/2*360/(2*PI()*N448))*PI()/180))</f>
        <v>25.309809397436183</v>
      </c>
      <c r="Q419" s="71"/>
      <c r="R419" s="71">
        <f>+P419</f>
        <v>25.309809397436183</v>
      </c>
      <c r="S419" s="71"/>
      <c r="T419" s="71">
        <f>+M419</f>
        <v>47.781479464156916</v>
      </c>
      <c r="U419" s="71"/>
      <c r="V419" s="1" t="s">
        <v>0</v>
      </c>
      <c r="X419" s="71">
        <f>+J419</f>
        <v>56.372207272867669</v>
      </c>
      <c r="Y419" s="71"/>
      <c r="Z419" s="1" t="s">
        <v>0</v>
      </c>
      <c r="AA419" s="71">
        <f>+G419</f>
        <v>3.0365038655392311</v>
      </c>
      <c r="AB419" s="71"/>
      <c r="AC419" s="3" t="s">
        <v>0</v>
      </c>
      <c r="AD419" s="3"/>
      <c r="AG419" s="3"/>
      <c r="AH419" s="3"/>
      <c r="AI419" s="3"/>
      <c r="AJ419" s="3" t="s">
        <v>1</v>
      </c>
      <c r="AK419" s="3"/>
      <c r="AL419" s="3"/>
      <c r="AM419" s="3"/>
      <c r="AN419" s="3"/>
      <c r="AO419" s="3"/>
      <c r="AP419" s="3"/>
      <c r="AQ419" s="78">
        <v>30</v>
      </c>
      <c r="AR419" s="78"/>
      <c r="AS419" s="3" t="s">
        <v>0</v>
      </c>
      <c r="AT419" s="3"/>
      <c r="AU419" s="3"/>
      <c r="AV419" s="3"/>
      <c r="AW419" s="3"/>
      <c r="AX419" s="3"/>
      <c r="AY419" s="3"/>
      <c r="AZ419" s="3"/>
      <c r="BA419" s="3"/>
      <c r="BB419" s="3"/>
      <c r="BC419" s="5"/>
      <c r="BG419" s="27" t="s">
        <v>22</v>
      </c>
    </row>
    <row r="420" spans="1:77" x14ac:dyDescent="0.2">
      <c r="A420" s="2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 t="s">
        <v>3</v>
      </c>
      <c r="AK420" s="3"/>
      <c r="AL420" s="3"/>
      <c r="AM420" s="3"/>
      <c r="AN420" s="3"/>
      <c r="AO420" s="3"/>
      <c r="AP420" s="9">
        <v>17</v>
      </c>
      <c r="AQ420" s="3" t="s">
        <v>4</v>
      </c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5"/>
      <c r="BG420" s="3" t="s">
        <v>18</v>
      </c>
      <c r="BH420" s="3"/>
      <c r="BI420" s="3"/>
      <c r="BJ420" s="3"/>
      <c r="BK420" s="3"/>
      <c r="BL420" s="78">
        <v>2.8</v>
      </c>
      <c r="BM420" s="78"/>
      <c r="BN420" s="3" t="s">
        <v>10</v>
      </c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</row>
    <row r="421" spans="1:77" x14ac:dyDescent="0.2">
      <c r="A421" s="2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82">
        <f>P419*(AC438+M432-S432)/(AC427-M432+S432)</f>
        <v>20.999478323815669</v>
      </c>
      <c r="AK421" s="82"/>
      <c r="AL421" s="82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5"/>
      <c r="BG421" s="21" t="s">
        <v>6</v>
      </c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</row>
    <row r="422" spans="1:77" x14ac:dyDescent="0.2">
      <c r="A422" s="23"/>
      <c r="B422" s="3"/>
      <c r="C422" s="3"/>
      <c r="D422" s="3"/>
      <c r="E422" s="3"/>
      <c r="F422" s="3"/>
      <c r="G422" s="3"/>
      <c r="H422" s="28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30"/>
      <c r="AB422" s="3"/>
      <c r="AC422" s="3"/>
      <c r="AD422" s="3"/>
      <c r="AE422" s="3"/>
      <c r="AF422" s="3"/>
      <c r="AG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5"/>
      <c r="BG422" s="3" t="s">
        <v>7</v>
      </c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</row>
    <row r="423" spans="1:77" x14ac:dyDescent="0.2">
      <c r="A423" s="23"/>
      <c r="B423" s="3"/>
      <c r="C423" s="3"/>
      <c r="D423" s="71">
        <f>+C432-D427-D432-D435-D439-D442</f>
        <v>65.416203021484378</v>
      </c>
      <c r="E423" s="71"/>
      <c r="F423" s="3" t="s">
        <v>0</v>
      </c>
      <c r="G423" s="3"/>
      <c r="H423" s="31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3"/>
      <c r="AB423" s="3"/>
      <c r="AC423" s="3"/>
      <c r="AD423" s="3"/>
      <c r="AE423" s="3"/>
      <c r="AF423" s="3"/>
      <c r="AG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5"/>
      <c r="BG423" s="3" t="s">
        <v>8</v>
      </c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</row>
    <row r="424" spans="1:77" x14ac:dyDescent="0.2">
      <c r="A424" s="23"/>
      <c r="B424" s="3"/>
      <c r="C424" s="3"/>
      <c r="D424" s="3"/>
      <c r="E424" s="3"/>
      <c r="F424" s="3"/>
      <c r="G424" s="3"/>
      <c r="H424" s="31"/>
      <c r="I424" s="32"/>
      <c r="J424" s="32"/>
      <c r="K424" s="32"/>
      <c r="L424" s="32">
        <v>7</v>
      </c>
      <c r="M424" s="32"/>
      <c r="N424" s="32"/>
      <c r="O424" s="34">
        <v>8</v>
      </c>
      <c r="P424" s="32"/>
      <c r="Q424" s="74">
        <v>9</v>
      </c>
      <c r="R424" s="74"/>
      <c r="S424" s="32"/>
      <c r="T424" s="32">
        <v>10</v>
      </c>
      <c r="U424" s="32"/>
      <c r="V424" s="32"/>
      <c r="W424" s="32">
        <v>11</v>
      </c>
      <c r="X424" s="32"/>
      <c r="Y424" s="32"/>
      <c r="Z424" s="32"/>
      <c r="AA424" s="33"/>
      <c r="AB424" s="3"/>
      <c r="AC424" s="3"/>
      <c r="AD424" s="3"/>
      <c r="AE424" s="3"/>
      <c r="AF424" s="3"/>
      <c r="AG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5"/>
      <c r="BG424" s="3" t="s">
        <v>9</v>
      </c>
      <c r="BH424" s="3"/>
      <c r="BI424" s="71">
        <f>0.63-2*BI425</f>
        <v>0.30058823529411766</v>
      </c>
      <c r="BJ424" s="71"/>
      <c r="BK424" s="71"/>
      <c r="BL424" s="3" t="s">
        <v>10</v>
      </c>
      <c r="BM424" s="3" t="s">
        <v>11</v>
      </c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</row>
    <row r="425" spans="1:77" x14ac:dyDescent="0.2">
      <c r="A425" s="23"/>
      <c r="B425" s="3"/>
      <c r="C425" s="3"/>
      <c r="D425" s="3"/>
      <c r="E425" s="3"/>
      <c r="F425" s="3"/>
      <c r="G425" s="3"/>
      <c r="H425" s="31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3"/>
      <c r="AB425" s="3"/>
      <c r="AC425" s="79" t="s">
        <v>0</v>
      </c>
      <c r="AD425" s="3"/>
      <c r="AE425" s="79" t="s">
        <v>0</v>
      </c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5"/>
      <c r="BG425" s="3" t="s">
        <v>12</v>
      </c>
      <c r="BH425" s="3"/>
      <c r="BI425" s="71">
        <f>BL420/BL426</f>
        <v>0.16470588235294117</v>
      </c>
      <c r="BJ425" s="71"/>
      <c r="BK425" s="71"/>
      <c r="BL425" s="3" t="s">
        <v>10</v>
      </c>
      <c r="BM425" s="3" t="s">
        <v>13</v>
      </c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</row>
    <row r="426" spans="1:77" x14ac:dyDescent="0.2">
      <c r="A426" s="23"/>
      <c r="B426" s="3"/>
      <c r="C426" s="3"/>
      <c r="D426" s="3"/>
      <c r="E426" s="3"/>
      <c r="F426" s="3"/>
      <c r="G426" s="3"/>
      <c r="H426" s="31"/>
      <c r="I426" s="32"/>
      <c r="J426" s="32">
        <v>6</v>
      </c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>
        <v>12</v>
      </c>
      <c r="Z426" s="32"/>
      <c r="AA426" s="33"/>
      <c r="AB426" s="3"/>
      <c r="AC426" s="79"/>
      <c r="AD426" s="3"/>
      <c r="AE426" s="79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5"/>
      <c r="BG426" s="3" t="s">
        <v>14</v>
      </c>
      <c r="BH426" s="3"/>
      <c r="BI426" s="3"/>
      <c r="BJ426" s="3"/>
      <c r="BK426" s="3"/>
      <c r="BL426" s="72">
        <v>17</v>
      </c>
      <c r="BM426" s="72"/>
      <c r="BN426" s="3" t="s">
        <v>4</v>
      </c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</row>
    <row r="427" spans="1:77" x14ac:dyDescent="0.2">
      <c r="A427" s="23"/>
      <c r="B427" s="3"/>
      <c r="C427" s="3"/>
      <c r="D427" s="71">
        <f>((S438+S439+S441+S442+S444)*(K450+4*AJ421)/(4*AJ421))-((S439+S441+S442+S444)*(K450+5*AJ421)/(5*AJ421))</f>
        <v>47.6370869123528</v>
      </c>
      <c r="E427" s="71"/>
      <c r="F427" s="3" t="s">
        <v>0</v>
      </c>
      <c r="G427" s="3"/>
      <c r="H427" s="31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3"/>
      <c r="AB427" s="3"/>
      <c r="AC427" s="79">
        <f>+K446+Q446/2</f>
        <v>132.5</v>
      </c>
      <c r="AD427" s="3"/>
      <c r="AE427" s="79">
        <f>+C432-AE437</f>
        <v>120</v>
      </c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9"/>
      <c r="AX427" s="9"/>
      <c r="AY427" s="9"/>
      <c r="AZ427" s="9"/>
      <c r="BA427" s="9"/>
      <c r="BB427" s="9"/>
      <c r="BC427" s="23"/>
      <c r="BG427" s="3">
        <v>2</v>
      </c>
      <c r="BH427" s="24" t="s">
        <v>15</v>
      </c>
      <c r="BI427" s="71">
        <f>+BI425</f>
        <v>0.16470588235294117</v>
      </c>
      <c r="BJ427" s="71"/>
      <c r="BK427" s="71"/>
      <c r="BL427" s="24" t="s">
        <v>16</v>
      </c>
      <c r="BM427" s="71">
        <f>+BI424</f>
        <v>0.30058823529411766</v>
      </c>
      <c r="BN427" s="71"/>
      <c r="BO427" s="71"/>
      <c r="BP427" s="24" t="s">
        <v>17</v>
      </c>
      <c r="BQ427" s="71">
        <f>+BG427*BI427+BM427</f>
        <v>0.63</v>
      </c>
      <c r="BR427" s="71"/>
      <c r="BS427" s="71"/>
      <c r="BT427" s="3" t="s">
        <v>10</v>
      </c>
      <c r="BU427" s="3"/>
      <c r="BV427" s="16" t="str">
        <f>IF(BQ427=0.63,"uygun.","uygun değil.")</f>
        <v>uygun.</v>
      </c>
      <c r="BW427" s="3"/>
      <c r="BX427" s="3"/>
      <c r="BY427" s="3"/>
    </row>
    <row r="428" spans="1:77" x14ac:dyDescent="0.2">
      <c r="A428" s="23"/>
      <c r="B428" s="3"/>
      <c r="C428" s="3"/>
      <c r="D428" s="3"/>
      <c r="E428" s="3"/>
      <c r="F428" s="3"/>
      <c r="G428" s="3"/>
      <c r="H428" s="31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3"/>
      <c r="AB428" s="3"/>
      <c r="AC428" s="79"/>
      <c r="AD428" s="3"/>
      <c r="AE428" s="79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9"/>
      <c r="AX428" s="9"/>
      <c r="AY428" s="9"/>
      <c r="AZ428" s="9"/>
      <c r="BA428" s="9"/>
      <c r="BB428" s="9"/>
      <c r="BC428" s="23"/>
    </row>
    <row r="429" spans="1:77" x14ac:dyDescent="0.2">
      <c r="A429" s="23"/>
      <c r="B429" s="3"/>
      <c r="C429" s="3"/>
      <c r="D429" s="3"/>
      <c r="E429" s="3"/>
      <c r="F429" s="3"/>
      <c r="G429" s="3"/>
      <c r="H429" s="31"/>
      <c r="I429" s="32"/>
      <c r="J429" s="32"/>
      <c r="K429" s="32"/>
      <c r="L429" s="32"/>
      <c r="M429" s="32"/>
      <c r="N429" s="32"/>
      <c r="O429" s="32"/>
      <c r="P429" s="32"/>
      <c r="Q429" s="20">
        <v>5</v>
      </c>
      <c r="R429" s="32" t="s">
        <v>0</v>
      </c>
      <c r="S429" s="32"/>
      <c r="T429" s="32"/>
      <c r="U429" s="32"/>
      <c r="V429" s="32"/>
      <c r="W429" s="32"/>
      <c r="X429" s="32"/>
      <c r="Y429" s="32"/>
      <c r="Z429" s="32"/>
      <c r="AA429" s="33"/>
      <c r="AB429" s="3"/>
      <c r="AC429" s="79"/>
      <c r="AD429" s="3"/>
      <c r="AE429" s="79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9"/>
      <c r="AX429" s="9"/>
      <c r="AY429" s="9"/>
      <c r="AZ429" s="9"/>
      <c r="BA429" s="9"/>
      <c r="BB429" s="9"/>
      <c r="BC429" s="23"/>
    </row>
    <row r="430" spans="1:77" x14ac:dyDescent="0.2">
      <c r="A430" s="23"/>
      <c r="B430" s="3"/>
      <c r="C430" s="79" t="s">
        <v>0</v>
      </c>
      <c r="D430" s="3"/>
      <c r="E430" s="3"/>
      <c r="F430" s="3"/>
      <c r="G430" s="3"/>
      <c r="H430" s="31"/>
      <c r="I430" s="32"/>
      <c r="J430" s="32">
        <v>5</v>
      </c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>
        <v>13</v>
      </c>
      <c r="Z430" s="32"/>
      <c r="AA430" s="3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9"/>
      <c r="AX430" s="9"/>
      <c r="AY430" s="9"/>
      <c r="AZ430" s="9"/>
      <c r="BA430" s="9"/>
      <c r="BB430" s="9"/>
      <c r="BC430" s="23"/>
      <c r="BG430" s="1" t="s">
        <v>19</v>
      </c>
    </row>
    <row r="431" spans="1:77" x14ac:dyDescent="0.2">
      <c r="A431" s="23"/>
      <c r="B431" s="3"/>
      <c r="C431" s="79"/>
      <c r="D431" s="3"/>
      <c r="E431" s="3"/>
      <c r="F431" s="3"/>
      <c r="G431" s="3"/>
      <c r="H431" s="31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23"/>
      <c r="BG431" s="4" t="s">
        <v>2</v>
      </c>
    </row>
    <row r="432" spans="1:77" x14ac:dyDescent="0.2">
      <c r="A432" s="23"/>
      <c r="B432" s="3"/>
      <c r="C432" s="79">
        <f>+AC427+AC438</f>
        <v>273.61726630737002</v>
      </c>
      <c r="D432" s="71">
        <f>4*AQ419*(I448+N448+AJ421*5)/(N448+AJ421*5)-D442-D439-D435</f>
        <v>43.359517171966928</v>
      </c>
      <c r="E432" s="71"/>
      <c r="F432" s="3" t="s">
        <v>0</v>
      </c>
      <c r="G432" s="3"/>
      <c r="H432" s="31"/>
      <c r="I432" s="32"/>
      <c r="J432" s="32"/>
      <c r="K432" s="32"/>
      <c r="L432" s="32"/>
      <c r="M432" s="74">
        <f>+Q446/2</f>
        <v>12.5</v>
      </c>
      <c r="N432" s="74"/>
      <c r="O432" s="32"/>
      <c r="P432" s="32"/>
      <c r="Q432" s="6"/>
      <c r="R432" s="7"/>
      <c r="S432" s="80">
        <f>Q429*K446/(P419-Q429)</f>
        <v>29.542374734237598</v>
      </c>
      <c r="T432" s="81"/>
      <c r="U432" s="74" t="s">
        <v>0</v>
      </c>
      <c r="V432" s="32"/>
      <c r="W432" s="32"/>
      <c r="X432" s="32"/>
      <c r="Y432" s="32"/>
      <c r="Z432" s="32"/>
      <c r="AA432" s="3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23"/>
    </row>
    <row r="433" spans="1:59" x14ac:dyDescent="0.2">
      <c r="A433" s="23"/>
      <c r="B433" s="3"/>
      <c r="C433" s="79"/>
      <c r="D433" s="3"/>
      <c r="E433" s="3"/>
      <c r="F433" s="3"/>
      <c r="G433" s="3"/>
      <c r="H433" s="31"/>
      <c r="I433" s="32"/>
      <c r="J433" s="32"/>
      <c r="K433" s="32"/>
      <c r="L433" s="32"/>
      <c r="M433" s="32"/>
      <c r="N433" s="32"/>
      <c r="O433" s="32"/>
      <c r="P433" s="32"/>
      <c r="Q433" s="8"/>
      <c r="R433" s="10"/>
      <c r="S433" s="80"/>
      <c r="T433" s="81"/>
      <c r="U433" s="74"/>
      <c r="V433" s="32"/>
      <c r="W433" s="32"/>
      <c r="X433" s="32"/>
      <c r="Y433" s="32"/>
      <c r="Z433" s="32"/>
      <c r="AA433" s="3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23"/>
      <c r="BG433" s="1" t="s">
        <v>20</v>
      </c>
    </row>
    <row r="434" spans="1:59" x14ac:dyDescent="0.2">
      <c r="A434" s="23"/>
      <c r="B434" s="3"/>
      <c r="C434" s="79"/>
      <c r="D434" s="3"/>
      <c r="E434" s="3"/>
      <c r="F434" s="3"/>
      <c r="G434" s="3"/>
      <c r="H434" s="31"/>
      <c r="I434" s="32"/>
      <c r="J434" s="32">
        <v>4</v>
      </c>
      <c r="K434" s="32"/>
      <c r="L434" s="32"/>
      <c r="M434" s="32"/>
      <c r="N434" s="32"/>
      <c r="O434" s="32"/>
      <c r="P434" s="32"/>
      <c r="Q434" s="8"/>
      <c r="R434" s="10"/>
      <c r="S434" s="73">
        <f>(N448*SIN((1.5*AQ419*360/(2*PI()*N448))*PI()/180))*((N448*COS((1.5*AQ419*360/(2*PI()*N448))*PI()/180))+AC438)/((N448*SIN((1.5*AQ419*360/(2*PI()*N448))*PI()/180))+2*AJ421)-(N448*COS((1.5*AQ419*360/(2*PI()*N448))*PI()/180))+M432-S432</f>
        <v>24.225945601724433</v>
      </c>
      <c r="T434" s="74"/>
      <c r="U434" s="74" t="s">
        <v>0</v>
      </c>
      <c r="V434" s="32"/>
      <c r="W434" s="32"/>
      <c r="X434" s="32"/>
      <c r="Y434" s="32">
        <v>14</v>
      </c>
      <c r="Z434" s="32"/>
      <c r="AA434" s="3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23"/>
    </row>
    <row r="435" spans="1:59" x14ac:dyDescent="0.2">
      <c r="A435" s="23"/>
      <c r="B435" s="3"/>
      <c r="D435" s="71">
        <f>3*AQ419*(I448+N448+AJ421*6)/(N448+AJ421*6)-D442-D439</f>
        <v>40.80327517992724</v>
      </c>
      <c r="E435" s="71"/>
      <c r="F435" s="3" t="s">
        <v>0</v>
      </c>
      <c r="G435" s="3"/>
      <c r="H435" s="31"/>
      <c r="I435" s="32"/>
      <c r="J435" s="32"/>
      <c r="K435" s="32"/>
      <c r="L435" s="32"/>
      <c r="M435" s="32"/>
      <c r="N435" s="32"/>
      <c r="O435" s="32"/>
      <c r="P435" s="32"/>
      <c r="Q435" s="8"/>
      <c r="R435" s="10"/>
      <c r="S435" s="73"/>
      <c r="T435" s="74"/>
      <c r="U435" s="74"/>
      <c r="V435" s="32"/>
      <c r="W435" s="32"/>
      <c r="X435" s="32"/>
      <c r="Y435" s="32"/>
      <c r="Z435" s="32"/>
      <c r="AA435" s="33"/>
      <c r="AB435" s="3"/>
      <c r="AC435" s="3"/>
      <c r="AD435" s="3"/>
      <c r="AE435" s="79" t="s">
        <v>0</v>
      </c>
      <c r="AF435" s="3"/>
      <c r="AG435" s="3"/>
      <c r="AH435" s="3"/>
      <c r="AI435" s="3"/>
      <c r="AJ435" s="3"/>
      <c r="AK435" s="3"/>
      <c r="AL435" s="3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23"/>
    </row>
    <row r="436" spans="1:59" x14ac:dyDescent="0.2">
      <c r="A436" s="23"/>
      <c r="B436" s="3"/>
      <c r="G436" s="3"/>
      <c r="H436" s="31"/>
      <c r="I436" s="32"/>
      <c r="J436" s="32"/>
      <c r="K436" s="32"/>
      <c r="L436" s="32"/>
      <c r="M436" s="32"/>
      <c r="N436" s="32"/>
      <c r="O436" s="32"/>
      <c r="P436" s="32"/>
      <c r="Q436" s="8"/>
      <c r="R436" s="10"/>
      <c r="S436" s="73">
        <f>(N448*SIN((2.5*AQ419*360/(2*PI()*N448))*PI()/180))*((N448*COS((2.5*AQ419*360/(2*PI()*N448))*PI()/180))+AC438)/((N448*SIN((2.5*AQ419*360/(2*PI()*N448))*PI()/180))+3*AJ421)-(N448*COS((2.5*AQ419*360/(2*PI()*N448))*PI()/180))+M432-S432-S434</f>
        <v>10.285989497462296</v>
      </c>
      <c r="T436" s="74"/>
      <c r="U436" s="32" t="s">
        <v>0</v>
      </c>
      <c r="V436" s="32"/>
      <c r="W436" s="32"/>
      <c r="X436" s="32"/>
      <c r="Y436" s="32"/>
      <c r="Z436" s="32"/>
      <c r="AA436" s="33"/>
      <c r="AB436" s="3"/>
      <c r="AC436" s="79" t="s">
        <v>0</v>
      </c>
      <c r="AD436" s="3"/>
      <c r="AE436" s="79"/>
      <c r="AF436" s="3"/>
      <c r="AG436" s="3"/>
      <c r="AH436" s="3"/>
      <c r="AI436" s="3"/>
      <c r="AJ436" s="3"/>
      <c r="AK436" s="3"/>
      <c r="AL436" s="3"/>
      <c r="AM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23"/>
    </row>
    <row r="437" spans="1:59" x14ac:dyDescent="0.2">
      <c r="A437" s="23"/>
      <c r="B437" s="3"/>
      <c r="C437" s="3"/>
      <c r="D437" s="3"/>
      <c r="E437" s="3"/>
      <c r="F437" s="3"/>
      <c r="G437" s="3"/>
      <c r="H437" s="31"/>
      <c r="I437" s="32"/>
      <c r="J437" s="32">
        <v>3</v>
      </c>
      <c r="K437" s="32"/>
      <c r="L437" s="32"/>
      <c r="M437" s="32"/>
      <c r="N437" s="32"/>
      <c r="O437" s="32"/>
      <c r="P437" s="32"/>
      <c r="Q437" s="8"/>
      <c r="R437" s="10"/>
      <c r="S437" s="73">
        <f>(N448*SIN((3.5*AQ419*360/(2*PI()*N448))*PI()/180))*((N448*COS((3.5*AQ419*360/(2*PI()*N448))*PI()/180))+AC438)/((N448*SIN((3.5*AQ419*360/(2*PI()*N448))*PI()/180))+4*AJ421)-(N448*COS((3.5*AQ419*360/(2*PI()*N448))*PI()/180))+M432-S432-S434-S436</f>
        <v>8.7840953954172676</v>
      </c>
      <c r="T437" s="74"/>
      <c r="U437" s="32" t="s">
        <v>0</v>
      </c>
      <c r="V437" s="32"/>
      <c r="W437" s="32"/>
      <c r="X437" s="32"/>
      <c r="Y437" s="32">
        <v>15</v>
      </c>
      <c r="Z437" s="32"/>
      <c r="AA437" s="33"/>
      <c r="AB437" s="3"/>
      <c r="AC437" s="79"/>
      <c r="AD437" s="3"/>
      <c r="AE437" s="79">
        <f>+AC438+M432</f>
        <v>153.61726630737002</v>
      </c>
      <c r="AF437" s="3"/>
      <c r="AG437" s="3"/>
      <c r="AH437" s="3"/>
      <c r="AI437" s="3"/>
      <c r="AJ437" s="3"/>
      <c r="AK437" s="3"/>
      <c r="AL437" s="3"/>
      <c r="AM437" s="9"/>
      <c r="AT437" s="9"/>
      <c r="AU437" s="9"/>
      <c r="AV437" s="9"/>
      <c r="AW437" s="9"/>
      <c r="AX437" s="9"/>
      <c r="AY437" s="9"/>
      <c r="AZ437" s="9"/>
      <c r="BA437" s="9"/>
      <c r="BB437" s="9"/>
      <c r="BC437" s="23"/>
    </row>
    <row r="438" spans="1:59" x14ac:dyDescent="0.2">
      <c r="A438" s="23"/>
      <c r="B438" s="3"/>
      <c r="C438" s="3"/>
      <c r="D438" s="3"/>
      <c r="E438" s="3"/>
      <c r="F438" s="3"/>
      <c r="G438" s="3"/>
      <c r="H438" s="31"/>
      <c r="I438" s="32"/>
      <c r="J438" s="32"/>
      <c r="K438" s="32"/>
      <c r="L438" s="32"/>
      <c r="M438" s="32"/>
      <c r="N438" s="32"/>
      <c r="O438" s="32"/>
      <c r="P438" s="32"/>
      <c r="Q438" s="8"/>
      <c r="R438" s="10"/>
      <c r="S438" s="73">
        <f>+AC438+M432-S432-S434-S436-S437-S439-S441-S442-S444</f>
        <v>9.7936658632139597</v>
      </c>
      <c r="T438" s="74"/>
      <c r="U438" s="32" t="s">
        <v>0</v>
      </c>
      <c r="V438" s="32"/>
      <c r="W438" s="32"/>
      <c r="X438" s="32"/>
      <c r="Y438" s="32"/>
      <c r="Z438" s="32"/>
      <c r="AA438" s="33"/>
      <c r="AB438" s="3"/>
      <c r="AC438" s="79">
        <f>(8.5*AQ419)-(2*PI()*N448*90/360)</f>
        <v>141.11726630737002</v>
      </c>
      <c r="AD438" s="3"/>
      <c r="AE438" s="79"/>
      <c r="AF438" s="3"/>
      <c r="AG438" s="3"/>
      <c r="AH438" s="3"/>
      <c r="AI438" s="3"/>
      <c r="AJ438" s="3"/>
      <c r="AK438" s="3"/>
      <c r="AL438" s="3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23"/>
    </row>
    <row r="439" spans="1:59" x14ac:dyDescent="0.2">
      <c r="A439" s="23"/>
      <c r="B439" s="3"/>
      <c r="C439" s="3"/>
      <c r="D439" s="71">
        <f>2*AQ419*(I448+N448+AJ421*7)/(N448+AJ421*7)-D442</f>
        <v>38.916646657650546</v>
      </c>
      <c r="E439" s="71"/>
      <c r="F439" s="3" t="s">
        <v>0</v>
      </c>
      <c r="G439" s="3"/>
      <c r="H439" s="31"/>
      <c r="I439" s="32"/>
      <c r="J439" s="32"/>
      <c r="K439" s="32"/>
      <c r="L439" s="32"/>
      <c r="M439" s="32"/>
      <c r="N439" s="32"/>
      <c r="O439" s="32"/>
      <c r="P439" s="32"/>
      <c r="Q439" s="8"/>
      <c r="R439" s="10"/>
      <c r="S439" s="73">
        <f>4*AQ419-((D442+D439+D435+D432)-4*AQ419)*N448/I448-S444-S442-S441</f>
        <v>13.857250083873282</v>
      </c>
      <c r="T439" s="74"/>
      <c r="U439" s="74" t="s">
        <v>0</v>
      </c>
      <c r="V439" s="32"/>
      <c r="W439" s="32"/>
      <c r="X439" s="32"/>
      <c r="Y439" s="32"/>
      <c r="Z439" s="32"/>
      <c r="AA439" s="33"/>
      <c r="AB439" s="3"/>
      <c r="AC439" s="79"/>
      <c r="AD439" s="3"/>
      <c r="AE439" s="79"/>
      <c r="AF439" s="3"/>
      <c r="AG439" s="3"/>
      <c r="AH439" s="3"/>
      <c r="AI439" s="3"/>
      <c r="AJ439" s="3"/>
      <c r="AK439" s="3"/>
      <c r="AL439" s="3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23"/>
    </row>
    <row r="440" spans="1:59" x14ac:dyDescent="0.2">
      <c r="A440" s="23"/>
      <c r="B440" s="3"/>
      <c r="C440" s="3"/>
      <c r="D440" s="3"/>
      <c r="E440" s="3"/>
      <c r="F440" s="3"/>
      <c r="G440" s="3"/>
      <c r="H440" s="31"/>
      <c r="I440" s="32"/>
      <c r="J440" s="32">
        <v>2</v>
      </c>
      <c r="K440" s="32"/>
      <c r="L440" s="32"/>
      <c r="M440" s="32"/>
      <c r="N440" s="32"/>
      <c r="O440" s="32"/>
      <c r="P440" s="32"/>
      <c r="Q440" s="8"/>
      <c r="R440" s="10"/>
      <c r="S440" s="73"/>
      <c r="T440" s="74"/>
      <c r="U440" s="74"/>
      <c r="V440" s="32"/>
      <c r="W440" s="32"/>
      <c r="X440" s="32"/>
      <c r="Y440" s="32">
        <v>16</v>
      </c>
      <c r="Z440" s="32"/>
      <c r="AA440" s="33"/>
      <c r="AB440" s="3"/>
      <c r="AC440" s="79"/>
      <c r="AD440" s="3"/>
      <c r="AE440" s="3"/>
      <c r="AF440" s="3"/>
      <c r="AG440" s="3"/>
      <c r="AH440" s="3"/>
      <c r="AI440" s="3"/>
      <c r="AJ440" s="3"/>
      <c r="AK440" s="3"/>
      <c r="AL440" s="3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23"/>
    </row>
    <row r="441" spans="1:59" x14ac:dyDescent="0.2">
      <c r="A441" s="23"/>
      <c r="B441" s="3"/>
      <c r="C441" s="3"/>
      <c r="D441" s="3"/>
      <c r="E441" s="3"/>
      <c r="F441" s="3"/>
      <c r="G441" s="3"/>
      <c r="H441" s="31"/>
      <c r="I441" s="32"/>
      <c r="J441" s="32"/>
      <c r="K441" s="32"/>
      <c r="L441" s="32"/>
      <c r="M441" s="32"/>
      <c r="N441" s="32"/>
      <c r="O441" s="32"/>
      <c r="P441" s="32"/>
      <c r="Q441" s="8"/>
      <c r="R441" s="10"/>
      <c r="S441" s="73">
        <f>3*AQ419-((D442+D439+D435)-3*AQ419)*N448/I448-S444-S442</f>
        <v>16.946042490921254</v>
      </c>
      <c r="T441" s="74"/>
      <c r="U441" s="32" t="s">
        <v>0</v>
      </c>
      <c r="V441" s="32"/>
      <c r="W441" s="32"/>
      <c r="X441" s="32"/>
      <c r="Y441" s="32"/>
      <c r="Z441" s="32"/>
      <c r="AA441" s="3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5"/>
    </row>
    <row r="442" spans="1:59" x14ac:dyDescent="0.2">
      <c r="A442" s="23"/>
      <c r="B442" s="3"/>
      <c r="C442" s="3"/>
      <c r="D442" s="71">
        <f>1*AQ419*(I448+N448+AJ421*8)/(N448+AJ421*8)</f>
        <v>37.484537363988139</v>
      </c>
      <c r="E442" s="71"/>
      <c r="F442" s="3" t="s">
        <v>0</v>
      </c>
      <c r="G442" s="3"/>
      <c r="H442" s="31"/>
      <c r="I442" s="32"/>
      <c r="J442" s="32"/>
      <c r="K442" s="32"/>
      <c r="L442" s="32"/>
      <c r="M442" s="32"/>
      <c r="N442" s="32"/>
      <c r="O442" s="32"/>
      <c r="P442" s="32"/>
      <c r="Q442" s="8"/>
      <c r="R442" s="10"/>
      <c r="S442" s="73">
        <f>2*AQ419-((D442+D439)-2*AQ419)*N448/I448-S444</f>
        <v>19.225718622005591</v>
      </c>
      <c r="T442" s="74"/>
      <c r="U442" s="74" t="s">
        <v>0</v>
      </c>
      <c r="V442" s="32"/>
      <c r="W442" s="32"/>
      <c r="X442" s="32"/>
      <c r="Y442" s="32"/>
      <c r="Z442" s="32"/>
      <c r="AA442" s="3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5"/>
    </row>
    <row r="443" spans="1:59" x14ac:dyDescent="0.2">
      <c r="A443" s="23"/>
      <c r="B443" s="3"/>
      <c r="C443" s="3"/>
      <c r="D443" s="3"/>
      <c r="E443" s="3"/>
      <c r="F443" s="3"/>
      <c r="G443" s="3"/>
      <c r="H443" s="31"/>
      <c r="I443" s="32"/>
      <c r="J443" s="32">
        <v>1</v>
      </c>
      <c r="K443" s="32"/>
      <c r="L443" s="32"/>
      <c r="M443" s="32"/>
      <c r="N443" s="32"/>
      <c r="O443" s="32"/>
      <c r="P443" s="32"/>
      <c r="Q443" s="8"/>
      <c r="R443" s="10"/>
      <c r="S443" s="73"/>
      <c r="T443" s="74"/>
      <c r="U443" s="74"/>
      <c r="V443" s="32"/>
      <c r="W443" s="32"/>
      <c r="X443" s="32"/>
      <c r="Y443" s="32">
        <v>17</v>
      </c>
      <c r="Z443" s="32"/>
      <c r="AA443" s="3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9"/>
      <c r="AM443" s="9"/>
      <c r="AN443" s="9"/>
      <c r="AO443" s="9"/>
      <c r="AP443" s="9"/>
      <c r="AQ443" s="9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5"/>
    </row>
    <row r="444" spans="1:59" x14ac:dyDescent="0.2">
      <c r="A444" s="23"/>
      <c r="B444" s="3"/>
      <c r="C444" s="3"/>
      <c r="D444" s="3"/>
      <c r="E444" s="3"/>
      <c r="F444" s="3"/>
      <c r="G444" s="3"/>
      <c r="H444" s="35"/>
      <c r="I444" s="36"/>
      <c r="J444" s="36"/>
      <c r="K444" s="36"/>
      <c r="L444" s="36"/>
      <c r="M444" s="36"/>
      <c r="N444" s="36"/>
      <c r="O444" s="36"/>
      <c r="P444" s="36"/>
      <c r="Q444" s="11"/>
      <c r="R444" s="12"/>
      <c r="S444" s="75">
        <f>AQ419-(D442-AQ419)*N448/I448</f>
        <v>20.956184018514332</v>
      </c>
      <c r="T444" s="76"/>
      <c r="U444" s="36" t="s">
        <v>0</v>
      </c>
      <c r="V444" s="36"/>
      <c r="W444" s="36"/>
      <c r="X444" s="36"/>
      <c r="Y444" s="36"/>
      <c r="Z444" s="36"/>
      <c r="AA444" s="37"/>
      <c r="AB444" s="3"/>
      <c r="AC444" s="3"/>
      <c r="AD444" s="3"/>
      <c r="AE444" s="3"/>
      <c r="AF444" s="3"/>
      <c r="AG444" s="3"/>
      <c r="AH444" s="3"/>
      <c r="AW444" s="3"/>
      <c r="AX444" s="3"/>
      <c r="AY444" s="3"/>
      <c r="AZ444" s="3"/>
      <c r="BA444" s="3"/>
      <c r="BB444" s="3"/>
      <c r="BC444" s="5"/>
    </row>
    <row r="445" spans="1:59" x14ac:dyDescent="0.2">
      <c r="A445" s="2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W445" s="3"/>
      <c r="AX445" s="3"/>
      <c r="AY445" s="3"/>
      <c r="AZ445" s="3"/>
      <c r="BA445" s="3"/>
      <c r="BB445" s="3"/>
      <c r="BC445" s="5"/>
    </row>
    <row r="446" spans="1:59" x14ac:dyDescent="0.2">
      <c r="A446" s="23"/>
      <c r="B446" s="3"/>
      <c r="C446" s="3"/>
      <c r="D446" s="3"/>
      <c r="E446" s="3"/>
      <c r="F446" s="3"/>
      <c r="G446" s="3"/>
      <c r="H446" s="3"/>
      <c r="I446" s="3"/>
      <c r="J446" s="3"/>
      <c r="K446" s="78">
        <v>120</v>
      </c>
      <c r="L446" s="78"/>
      <c r="M446" s="3" t="s">
        <v>0</v>
      </c>
      <c r="N446" s="3"/>
      <c r="O446" s="3"/>
      <c r="P446" s="3"/>
      <c r="Q446" s="78">
        <v>25</v>
      </c>
      <c r="R446" s="78"/>
      <c r="S446" s="3" t="s">
        <v>0</v>
      </c>
      <c r="T446" s="3"/>
      <c r="U446" s="3"/>
      <c r="V446" s="71">
        <f>+K446</f>
        <v>120</v>
      </c>
      <c r="W446" s="71"/>
      <c r="X446" s="3" t="s">
        <v>0</v>
      </c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W446" s="3"/>
      <c r="AX446" s="3"/>
      <c r="AY446" s="3"/>
      <c r="AZ446" s="3"/>
      <c r="BA446" s="3"/>
      <c r="BB446" s="3"/>
      <c r="BC446" s="5"/>
    </row>
    <row r="447" spans="1:59" x14ac:dyDescent="0.2">
      <c r="A447" s="2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J447" s="1" t="s">
        <v>9</v>
      </c>
      <c r="AL447" s="77">
        <f>+AQ419</f>
        <v>30</v>
      </c>
      <c r="AM447" s="77"/>
      <c r="AN447" s="1" t="s">
        <v>0</v>
      </c>
      <c r="AW447" s="3"/>
      <c r="AX447" s="3"/>
      <c r="AY447" s="3"/>
      <c r="AZ447" s="3"/>
      <c r="BA447" s="3"/>
      <c r="BB447" s="3"/>
      <c r="BC447" s="5"/>
    </row>
    <row r="448" spans="1:59" x14ac:dyDescent="0.2">
      <c r="A448" s="23"/>
      <c r="B448" s="3"/>
      <c r="C448" s="3"/>
      <c r="D448" s="3"/>
      <c r="E448" s="3"/>
      <c r="F448" s="3"/>
      <c r="G448" s="3"/>
      <c r="H448" s="3"/>
      <c r="I448" s="71">
        <f>+K446/2</f>
        <v>60</v>
      </c>
      <c r="J448" s="71"/>
      <c r="K448" s="3" t="s">
        <v>0</v>
      </c>
      <c r="L448" s="3"/>
      <c r="M448" s="3"/>
      <c r="N448" s="71">
        <f>+K446/2+Q446/2</f>
        <v>72.5</v>
      </c>
      <c r="O448" s="71"/>
      <c r="P448" s="3" t="s">
        <v>0</v>
      </c>
      <c r="Q448" s="3"/>
      <c r="R448" s="3"/>
      <c r="S448" s="3"/>
      <c r="T448" s="71">
        <f>+V446/2+Q446/2</f>
        <v>72.5</v>
      </c>
      <c r="U448" s="71"/>
      <c r="V448" s="3" t="s">
        <v>0</v>
      </c>
      <c r="W448" s="3"/>
      <c r="X448" s="3"/>
      <c r="Y448" s="71">
        <f>+V446/2</f>
        <v>60</v>
      </c>
      <c r="Z448" s="71"/>
      <c r="AA448" s="3" t="s">
        <v>0</v>
      </c>
      <c r="AB448" s="3"/>
      <c r="AC448" s="3"/>
      <c r="AD448" s="3"/>
      <c r="AE448" s="3"/>
      <c r="AF448" s="3"/>
      <c r="AG448" s="3"/>
      <c r="AH448" s="3"/>
      <c r="AW448" s="3"/>
      <c r="AX448" s="3"/>
      <c r="AY448" s="3"/>
      <c r="AZ448" s="3"/>
      <c r="BA448" s="3"/>
      <c r="BB448" s="3"/>
      <c r="BC448" s="5"/>
    </row>
    <row r="449" spans="1:99" x14ac:dyDescent="0.2">
      <c r="A449" s="2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W449" s="3"/>
      <c r="AX449" s="3"/>
      <c r="AY449" s="3"/>
      <c r="AZ449" s="3"/>
      <c r="BA449" s="3"/>
      <c r="BB449" s="3"/>
      <c r="BC449" s="5"/>
    </row>
    <row r="450" spans="1:99" x14ac:dyDescent="0.2">
      <c r="A450" s="23"/>
      <c r="B450" s="3"/>
      <c r="C450" s="3"/>
      <c r="D450" s="3"/>
      <c r="E450" s="3"/>
      <c r="F450" s="3"/>
      <c r="G450" s="3"/>
      <c r="H450" s="3"/>
      <c r="I450" s="3"/>
      <c r="J450" s="3"/>
      <c r="K450" s="72">
        <f>+K446+Q446/2</f>
        <v>132.5</v>
      </c>
      <c r="L450" s="72"/>
      <c r="M450" s="72"/>
      <c r="N450" s="3" t="s">
        <v>0</v>
      </c>
      <c r="O450" s="3"/>
      <c r="P450" s="3"/>
      <c r="Q450" s="3"/>
      <c r="R450" s="3"/>
      <c r="S450" s="3"/>
      <c r="T450" s="3"/>
      <c r="U450" s="71">
        <f>+K450</f>
        <v>132.5</v>
      </c>
      <c r="V450" s="71"/>
      <c r="W450" s="71"/>
      <c r="X450" s="3" t="s">
        <v>0</v>
      </c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W450" s="3"/>
      <c r="AX450" s="3"/>
      <c r="AY450" s="3"/>
      <c r="AZ450" s="3"/>
      <c r="BA450" s="3"/>
      <c r="BB450" s="3"/>
      <c r="BC450" s="5"/>
    </row>
    <row r="451" spans="1:99" x14ac:dyDescent="0.2">
      <c r="A451" s="2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 t="s">
        <v>21</v>
      </c>
      <c r="AP451" s="26"/>
      <c r="AQ451" s="26"/>
      <c r="AR451" s="25"/>
      <c r="AV451" s="3"/>
      <c r="AW451" s="3"/>
      <c r="AX451" s="3"/>
      <c r="AY451" s="3"/>
      <c r="AZ451" s="3"/>
      <c r="BA451" s="3"/>
      <c r="BB451" s="3"/>
      <c r="BC451" s="5"/>
    </row>
    <row r="452" spans="1:99" x14ac:dyDescent="0.2">
      <c r="A452" s="2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71">
        <f>+K446+Q446+V446</f>
        <v>265</v>
      </c>
      <c r="R452" s="71"/>
      <c r="S452" s="3" t="s">
        <v>0</v>
      </c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V452" s="3"/>
      <c r="AW452" s="3"/>
      <c r="AX452" s="3"/>
      <c r="AY452" s="3"/>
      <c r="AZ452" s="3"/>
      <c r="BA452" s="3"/>
      <c r="BB452" s="3"/>
      <c r="BC452" s="5"/>
    </row>
    <row r="453" spans="1:99" ht="12" thickBot="1" x14ac:dyDescent="0.25">
      <c r="A453" s="23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5"/>
    </row>
    <row r="454" spans="1:99" ht="12" thickBot="1" x14ac:dyDescent="0.25"/>
    <row r="455" spans="1:99" ht="48.75" customHeight="1" x14ac:dyDescent="0.2">
      <c r="A455" s="18"/>
      <c r="B455" s="89" t="s">
        <v>28</v>
      </c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  <c r="AA455" s="85"/>
      <c r="AB455" s="85"/>
      <c r="AC455" s="85"/>
      <c r="AD455" s="85"/>
      <c r="AE455" s="85"/>
      <c r="AF455" s="85"/>
      <c r="AG455" s="85"/>
      <c r="AH455" s="85"/>
      <c r="AI455" s="85"/>
      <c r="AJ455" s="85"/>
      <c r="AK455" s="85"/>
      <c r="AL455" s="85"/>
      <c r="AM455" s="85"/>
      <c r="AN455" s="85"/>
      <c r="AO455" s="85"/>
      <c r="AP455" s="85"/>
      <c r="AQ455" s="85"/>
      <c r="AR455" s="85"/>
      <c r="AS455" s="85"/>
      <c r="AT455" s="85"/>
      <c r="AU455" s="85"/>
      <c r="AV455" s="85"/>
      <c r="AW455" s="85"/>
      <c r="AX455" s="85"/>
      <c r="AY455" s="85"/>
      <c r="AZ455" s="85"/>
      <c r="BA455" s="85"/>
      <c r="BB455" s="85"/>
      <c r="BC455" s="86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7"/>
      <c r="BS455" s="17"/>
      <c r="BT455" s="17"/>
      <c r="BU455" s="17"/>
      <c r="BV455" s="17"/>
      <c r="BW455" s="17"/>
      <c r="BX455" s="17"/>
      <c r="BY455" s="17"/>
      <c r="BZ455" s="17"/>
      <c r="CA455" s="17"/>
      <c r="CB455" s="17"/>
      <c r="CC455" s="17"/>
      <c r="CD455" s="17"/>
      <c r="CE455" s="17"/>
      <c r="CF455" s="17"/>
      <c r="CG455" s="17"/>
      <c r="CH455" s="17"/>
      <c r="CI455" s="17"/>
    </row>
    <row r="456" spans="1:99" x14ac:dyDescent="0.2">
      <c r="A456" s="5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16" t="s">
        <v>5</v>
      </c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18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7"/>
      <c r="BS456" s="17"/>
      <c r="BT456" s="17"/>
      <c r="BU456" s="17"/>
      <c r="BV456" s="17"/>
      <c r="BW456" s="17"/>
      <c r="BX456" s="17"/>
      <c r="BY456" s="17"/>
      <c r="BZ456" s="17"/>
      <c r="CA456" s="17"/>
      <c r="CB456" s="17"/>
      <c r="CC456" s="17"/>
      <c r="CD456" s="17"/>
      <c r="CE456" s="17"/>
      <c r="CF456" s="17"/>
      <c r="CG456" s="17"/>
      <c r="CH456" s="17"/>
      <c r="CI456" s="17"/>
    </row>
    <row r="457" spans="1:99" x14ac:dyDescent="0.2">
      <c r="A457" s="5"/>
      <c r="B457" s="2"/>
      <c r="C457" s="3"/>
      <c r="D457" s="3"/>
      <c r="E457" s="3"/>
      <c r="F457" s="3"/>
      <c r="G457" s="3"/>
      <c r="H457" s="3"/>
      <c r="I457" s="3"/>
      <c r="J457" s="3"/>
      <c r="K457" s="71">
        <f>+K489</f>
        <v>132.5</v>
      </c>
      <c r="L457" s="71"/>
      <c r="M457" s="71"/>
      <c r="N457" s="3" t="s">
        <v>0</v>
      </c>
      <c r="O457" s="3"/>
      <c r="P457" s="3"/>
      <c r="Q457" s="3"/>
      <c r="R457" s="3"/>
      <c r="S457" s="3"/>
      <c r="T457" s="3"/>
      <c r="U457" s="71">
        <f>+K457</f>
        <v>132.5</v>
      </c>
      <c r="V457" s="71"/>
      <c r="W457" s="71"/>
      <c r="X457" s="3" t="s">
        <v>0</v>
      </c>
      <c r="Y457" s="3"/>
      <c r="Z457" s="16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5"/>
    </row>
    <row r="458" spans="1:99" x14ac:dyDescent="0.2">
      <c r="A458" s="5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5"/>
    </row>
    <row r="459" spans="1:99" x14ac:dyDescent="0.2">
      <c r="A459" s="5"/>
      <c r="B459" s="2"/>
      <c r="C459" s="3"/>
      <c r="D459" s="3"/>
      <c r="E459" s="3"/>
      <c r="F459" s="3"/>
      <c r="G459" s="3"/>
      <c r="H459" s="71">
        <f>+K457-K459-O459</f>
        <v>16.279524347483644</v>
      </c>
      <c r="I459" s="71"/>
      <c r="J459" s="3" t="s">
        <v>0</v>
      </c>
      <c r="K459" s="71">
        <f>(N487*SIN((2*AP459*360/(2*PI()*N487))*PI()/180))*((AC467-(N487*COS((2*AP459*360/(2*PI()*N487))*PI()/180)))+((N487*COS((2*AP459*360/(2*PI()*N487))*PI()/180))-M472+S472+S474))/((N487*COS((2*AP459*360/(2*PI()*N487))*PI()/180))-M472+S472+S474)-O459</f>
        <v>63.568443868310325</v>
      </c>
      <c r="L459" s="71"/>
      <c r="M459" s="3" t="s">
        <v>0</v>
      </c>
      <c r="N459" s="3"/>
      <c r="O459" s="71">
        <f>((N487*SIN((AP459*360/(2*PI()*N487))*PI()/180))-Q469)/((N487*COS((AP459*360/(2*PI()*N487))*PI()/180))-M472)*(I487+N487-(N487*COS((AP459*360/(2*PI()*N487))*PI()/180)))+(N487*SIN((AP459*360/(2*PI()*N487))*PI()/180))</f>
        <v>52.652031784206031</v>
      </c>
      <c r="P459" s="71"/>
      <c r="Q459" s="3" t="s">
        <v>0</v>
      </c>
      <c r="R459" s="3"/>
      <c r="S459" s="71">
        <f>+O459</f>
        <v>52.652031784206031</v>
      </c>
      <c r="T459" s="71"/>
      <c r="U459" s="3" t="s">
        <v>0</v>
      </c>
      <c r="V459" s="71">
        <f>+K459</f>
        <v>63.568443868310325</v>
      </c>
      <c r="W459" s="71"/>
      <c r="X459" s="3" t="s">
        <v>0</v>
      </c>
      <c r="Z459" s="71">
        <f>+H459</f>
        <v>16.279524347483644</v>
      </c>
      <c r="AA459" s="71"/>
      <c r="AB459" s="3" t="s">
        <v>0</v>
      </c>
      <c r="AC459" s="3"/>
      <c r="AD459" s="3"/>
      <c r="AE459" s="3"/>
      <c r="AF459" s="3"/>
      <c r="AG459" s="3"/>
      <c r="AH459" s="3"/>
      <c r="AI459" s="3" t="s">
        <v>1</v>
      </c>
      <c r="AJ459" s="3"/>
      <c r="AK459" s="3"/>
      <c r="AL459" s="3"/>
      <c r="AM459" s="3"/>
      <c r="AN459" s="3"/>
      <c r="AO459" s="3"/>
      <c r="AP459" s="78">
        <v>30</v>
      </c>
      <c r="AQ459" s="78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5"/>
      <c r="BG459" s="27" t="s">
        <v>22</v>
      </c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</row>
    <row r="460" spans="1:99" x14ac:dyDescent="0.2">
      <c r="A460" s="5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 t="s">
        <v>3</v>
      </c>
      <c r="AJ460" s="3"/>
      <c r="AK460" s="3"/>
      <c r="AL460" s="3"/>
      <c r="AM460" s="3"/>
      <c r="AN460" s="3"/>
      <c r="AO460" s="9">
        <v>16</v>
      </c>
      <c r="AP460" s="3" t="s">
        <v>4</v>
      </c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5"/>
      <c r="BG460" s="3" t="s">
        <v>18</v>
      </c>
      <c r="BH460" s="3"/>
      <c r="BI460" s="3"/>
      <c r="BJ460" s="3"/>
      <c r="BK460" s="3"/>
      <c r="BL460" s="78">
        <v>2.7</v>
      </c>
      <c r="BM460" s="78"/>
      <c r="BN460" s="3" t="s">
        <v>10</v>
      </c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CE460" s="3"/>
      <c r="CR460" s="3"/>
      <c r="CS460" s="3"/>
      <c r="CT460" s="3"/>
      <c r="CU460" s="3"/>
    </row>
    <row r="461" spans="1:99" x14ac:dyDescent="0.2">
      <c r="A461" s="5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82">
        <f>O459*(AC478+M472-S472)/(AC467-M472+S472)</f>
        <v>39.269233736514153</v>
      </c>
      <c r="AJ461" s="82"/>
      <c r="AK461" s="82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5"/>
      <c r="BG461" s="21" t="s">
        <v>6</v>
      </c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CE461" s="3"/>
      <c r="CR461" s="3"/>
      <c r="CS461" s="3"/>
      <c r="CT461" s="3"/>
      <c r="CU461" s="3"/>
    </row>
    <row r="462" spans="1:99" x14ac:dyDescent="0.2">
      <c r="A462" s="5"/>
      <c r="B462" s="2"/>
      <c r="C462" s="3"/>
      <c r="D462" s="3"/>
      <c r="E462" s="3"/>
      <c r="F462" s="3"/>
      <c r="G462" s="3"/>
      <c r="H462" s="28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30"/>
      <c r="AB462" s="3"/>
      <c r="AC462" s="3"/>
      <c r="AD462" s="3"/>
      <c r="AE462" s="3"/>
      <c r="AF462" s="3"/>
      <c r="AG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5"/>
      <c r="BG462" s="3" t="s">
        <v>7</v>
      </c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CE462" s="3"/>
      <c r="CR462" s="3"/>
      <c r="CS462" s="3"/>
      <c r="CT462" s="3"/>
      <c r="CU462" s="3"/>
    </row>
    <row r="463" spans="1:99" x14ac:dyDescent="0.2">
      <c r="A463" s="5"/>
      <c r="B463" s="2"/>
      <c r="C463" s="3"/>
      <c r="D463" s="71">
        <f>+C472-D467-D472-D476-D479-D482</f>
        <v>57.776477845496977</v>
      </c>
      <c r="E463" s="71"/>
      <c r="F463" s="3" t="s">
        <v>0</v>
      </c>
      <c r="G463" s="3"/>
      <c r="H463" s="31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3"/>
      <c r="AB463" s="3"/>
      <c r="AC463" s="3"/>
      <c r="AD463" s="3"/>
      <c r="AE463" s="3"/>
      <c r="AF463" s="3"/>
      <c r="AG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5"/>
      <c r="BG463" s="3" t="s">
        <v>8</v>
      </c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CE463" s="3"/>
      <c r="CR463" s="3"/>
      <c r="CS463" s="3"/>
      <c r="CT463" s="3"/>
      <c r="CU463" s="3"/>
    </row>
    <row r="464" spans="1:99" x14ac:dyDescent="0.2">
      <c r="A464" s="5"/>
      <c r="B464" s="2"/>
      <c r="C464" s="3"/>
      <c r="D464" s="3"/>
      <c r="E464" s="3"/>
      <c r="F464" s="3"/>
      <c r="G464" s="3"/>
      <c r="H464" s="31"/>
      <c r="I464" s="32"/>
      <c r="J464" s="32"/>
      <c r="K464" s="32"/>
      <c r="L464" s="32"/>
      <c r="M464" s="32"/>
      <c r="N464" s="32"/>
      <c r="O464" s="32"/>
      <c r="P464" s="32">
        <v>8</v>
      </c>
      <c r="Q464" s="32"/>
      <c r="R464" s="32"/>
      <c r="S464" s="32">
        <v>9</v>
      </c>
      <c r="T464" s="32"/>
      <c r="U464" s="32"/>
      <c r="V464" s="32">
        <v>10</v>
      </c>
      <c r="W464" s="32"/>
      <c r="X464" s="32"/>
      <c r="Y464" s="32"/>
      <c r="Z464" s="32"/>
      <c r="AA464" s="33"/>
      <c r="AB464" s="3"/>
      <c r="AC464" s="3"/>
      <c r="AD464" s="3"/>
      <c r="AE464" s="3"/>
      <c r="AF464" s="3"/>
      <c r="AG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5"/>
      <c r="BG464" s="3" t="s">
        <v>9</v>
      </c>
      <c r="BH464" s="3"/>
      <c r="BI464" s="71">
        <f>0.63-2*BI465</f>
        <v>0.29249999999999998</v>
      </c>
      <c r="BJ464" s="71"/>
      <c r="BK464" s="71"/>
      <c r="BL464" s="3" t="s">
        <v>10</v>
      </c>
      <c r="BM464" s="3" t="s">
        <v>11</v>
      </c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CE464" s="3"/>
      <c r="CR464" s="3"/>
      <c r="CS464" s="3"/>
      <c r="CT464" s="3"/>
      <c r="CU464" s="3"/>
    </row>
    <row r="465" spans="1:99" x14ac:dyDescent="0.2">
      <c r="A465" s="5"/>
      <c r="B465" s="2"/>
      <c r="C465" s="3"/>
      <c r="D465" s="3"/>
      <c r="E465" s="3"/>
      <c r="F465" s="3"/>
      <c r="G465" s="3"/>
      <c r="H465" s="31"/>
      <c r="I465" s="32"/>
      <c r="J465" s="32"/>
      <c r="K465" s="32"/>
      <c r="L465" s="32"/>
      <c r="M465" s="32">
        <v>7</v>
      </c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3"/>
      <c r="AB465" s="3"/>
      <c r="AC465" s="79" t="s">
        <v>0</v>
      </c>
      <c r="AD465" s="3"/>
      <c r="AE465" s="79" t="s">
        <v>0</v>
      </c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5"/>
      <c r="BG465" s="3" t="s">
        <v>12</v>
      </c>
      <c r="BH465" s="3"/>
      <c r="BI465" s="71">
        <f>BL460/BL466</f>
        <v>0.16875000000000001</v>
      </c>
      <c r="BJ465" s="71"/>
      <c r="BK465" s="71"/>
      <c r="BL465" s="3" t="s">
        <v>10</v>
      </c>
      <c r="BM465" s="3" t="s">
        <v>13</v>
      </c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CE465" s="3"/>
      <c r="CR465" s="3"/>
      <c r="CS465" s="3"/>
      <c r="CT465" s="3"/>
      <c r="CU465" s="3"/>
    </row>
    <row r="466" spans="1:99" x14ac:dyDescent="0.2">
      <c r="A466" s="5"/>
      <c r="B466" s="2"/>
      <c r="C466" s="3"/>
      <c r="D466" s="3"/>
      <c r="E466" s="3"/>
      <c r="F466" s="3"/>
      <c r="G466" s="3"/>
      <c r="H466" s="31"/>
      <c r="I466" s="32"/>
      <c r="J466" s="32"/>
      <c r="K466" s="32">
        <v>6</v>
      </c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>
        <v>11</v>
      </c>
      <c r="Y466" s="32"/>
      <c r="Z466" s="32"/>
      <c r="AA466" s="33"/>
      <c r="AB466" s="3"/>
      <c r="AC466" s="79"/>
      <c r="AD466" s="3"/>
      <c r="AE466" s="79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5"/>
      <c r="BG466" s="3" t="s">
        <v>14</v>
      </c>
      <c r="BH466" s="3"/>
      <c r="BI466" s="3"/>
      <c r="BJ466" s="3"/>
      <c r="BK466" s="3"/>
      <c r="BL466" s="72">
        <v>16</v>
      </c>
      <c r="BM466" s="72"/>
      <c r="BN466" s="3" t="s">
        <v>4</v>
      </c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CE466" s="3"/>
      <c r="CR466" s="3"/>
      <c r="CS466" s="3"/>
      <c r="CT466" s="3"/>
      <c r="CU466" s="3"/>
    </row>
    <row r="467" spans="1:99" x14ac:dyDescent="0.2">
      <c r="A467" s="5"/>
      <c r="B467" s="2"/>
      <c r="C467" s="3"/>
      <c r="D467" s="71">
        <f>((S477+S478+S479+S481+S482)*(K489+3*AI461)/(3*AI461))-((S478+S479+S481+S482)*(K489+4*AI461)/(4*AI461))</f>
        <v>49.478752891131705</v>
      </c>
      <c r="E467" s="71"/>
      <c r="F467" s="3" t="s">
        <v>0</v>
      </c>
      <c r="G467" s="3"/>
      <c r="H467" s="31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3"/>
      <c r="AB467" s="3"/>
      <c r="AC467" s="79">
        <f>+K485+Q485/2</f>
        <v>132.5</v>
      </c>
      <c r="AD467" s="3"/>
      <c r="AE467" s="79">
        <f>+C472-AE477</f>
        <v>120</v>
      </c>
      <c r="AF467" s="3"/>
      <c r="AG467" s="3"/>
      <c r="AH467" s="3"/>
      <c r="AI467" s="3"/>
      <c r="AJ467" s="3"/>
      <c r="AK467" s="3"/>
      <c r="AL467" s="3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23"/>
      <c r="BG467" s="3">
        <v>2</v>
      </c>
      <c r="BH467" s="39" t="s">
        <v>15</v>
      </c>
      <c r="BI467" s="71">
        <f>+BI465</f>
        <v>0.16875000000000001</v>
      </c>
      <c r="BJ467" s="71"/>
      <c r="BK467" s="71"/>
      <c r="BL467" s="39" t="s">
        <v>16</v>
      </c>
      <c r="BM467" s="71">
        <f>+BI464</f>
        <v>0.29249999999999998</v>
      </c>
      <c r="BN467" s="71"/>
      <c r="BO467" s="71"/>
      <c r="BP467" s="39" t="s">
        <v>17</v>
      </c>
      <c r="BQ467" s="71">
        <f>+BG467*BI467+BM467</f>
        <v>0.63</v>
      </c>
      <c r="BR467" s="71"/>
      <c r="BS467" s="71"/>
      <c r="BT467" s="3" t="s">
        <v>10</v>
      </c>
      <c r="BU467" s="3"/>
      <c r="BV467" s="16" t="str">
        <f>IF(BQ467=0.63,"uygun.","uygun değil.")</f>
        <v>uygun.</v>
      </c>
      <c r="BW467" s="3"/>
      <c r="BX467" s="3"/>
      <c r="BY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</row>
    <row r="468" spans="1:99" x14ac:dyDescent="0.2">
      <c r="A468" s="5"/>
      <c r="B468" s="2"/>
      <c r="C468" s="3"/>
      <c r="D468" s="3"/>
      <c r="E468" s="3"/>
      <c r="F468" s="3"/>
      <c r="G468" s="3"/>
      <c r="H468" s="31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3"/>
      <c r="AB468" s="3"/>
      <c r="AC468" s="79"/>
      <c r="AD468" s="3"/>
      <c r="AE468" s="79"/>
      <c r="AF468" s="3"/>
      <c r="AG468" s="3"/>
      <c r="AH468" s="3"/>
      <c r="AI468" s="3"/>
      <c r="AJ468" s="3"/>
      <c r="AK468" s="3"/>
      <c r="AL468" s="3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23"/>
    </row>
    <row r="469" spans="1:99" x14ac:dyDescent="0.2">
      <c r="A469" s="5"/>
      <c r="B469" s="2"/>
      <c r="C469" s="3"/>
      <c r="D469" s="3"/>
      <c r="E469" s="3"/>
      <c r="F469" s="3"/>
      <c r="G469" s="3"/>
      <c r="H469" s="31"/>
      <c r="I469" s="32"/>
      <c r="J469" s="32"/>
      <c r="K469" s="32"/>
      <c r="L469" s="32"/>
      <c r="M469" s="32"/>
      <c r="N469" s="32"/>
      <c r="O469" s="32"/>
      <c r="P469" s="32"/>
      <c r="Q469" s="20">
        <v>10</v>
      </c>
      <c r="R469" s="32" t="s">
        <v>0</v>
      </c>
      <c r="S469" s="32"/>
      <c r="T469" s="32"/>
      <c r="U469" s="32"/>
      <c r="V469" s="32"/>
      <c r="W469" s="32"/>
      <c r="X469" s="32"/>
      <c r="Y469" s="32"/>
      <c r="Z469" s="32"/>
      <c r="AA469" s="33"/>
      <c r="AB469" s="3"/>
      <c r="AC469" s="79"/>
      <c r="AD469" s="3"/>
      <c r="AE469" s="79"/>
      <c r="AF469" s="3"/>
      <c r="AG469" s="3"/>
      <c r="AH469" s="3"/>
      <c r="AI469" s="3"/>
      <c r="AJ469" s="3"/>
      <c r="AK469" s="3"/>
      <c r="AL469" s="3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23"/>
    </row>
    <row r="470" spans="1:99" x14ac:dyDescent="0.2">
      <c r="A470" s="5"/>
      <c r="B470" s="2"/>
      <c r="C470" s="79" t="s">
        <v>0</v>
      </c>
      <c r="D470" s="3"/>
      <c r="E470" s="3"/>
      <c r="F470" s="3"/>
      <c r="G470" s="3"/>
      <c r="H470" s="31"/>
      <c r="I470" s="32"/>
      <c r="J470" s="32">
        <v>5</v>
      </c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>
        <v>12</v>
      </c>
      <c r="Z470" s="32"/>
      <c r="AA470" s="3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23"/>
      <c r="BG470" s="1" t="s">
        <v>19</v>
      </c>
    </row>
    <row r="471" spans="1:99" x14ac:dyDescent="0.2">
      <c r="A471" s="5"/>
      <c r="B471" s="2"/>
      <c r="C471" s="79"/>
      <c r="D471" s="3"/>
      <c r="E471" s="3"/>
      <c r="F471" s="3"/>
      <c r="G471" s="3"/>
      <c r="H471" s="31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23"/>
      <c r="BG471" s="4" t="s">
        <v>2</v>
      </c>
    </row>
    <row r="472" spans="1:99" x14ac:dyDescent="0.2">
      <c r="A472" s="5"/>
      <c r="B472" s="2"/>
      <c r="C472" s="79">
        <f>+AC467+AC478</f>
        <v>258.61726630737002</v>
      </c>
      <c r="D472" s="71">
        <f>4*AP459*(I487+N487+AI461*4)/(N487+AI461*4)-D482-D479-D476</f>
        <v>41.276199769317536</v>
      </c>
      <c r="E472" s="71"/>
      <c r="F472" s="3" t="s">
        <v>0</v>
      </c>
      <c r="G472" s="3"/>
      <c r="H472" s="31"/>
      <c r="I472" s="32"/>
      <c r="J472" s="32"/>
      <c r="K472" s="32"/>
      <c r="L472" s="32"/>
      <c r="M472" s="74">
        <f>+Q485/2</f>
        <v>12.5</v>
      </c>
      <c r="N472" s="74"/>
      <c r="O472" s="32"/>
      <c r="P472" s="32"/>
      <c r="Q472" s="6"/>
      <c r="R472" s="7"/>
      <c r="S472" s="80">
        <f>((N487*COS((AP459*360/(2*PI()*N487))*PI()/180))-M472)*Q469/((N487*SIN((AP459*360/(2*PI()*N487))*PI()/180))-Q469)</f>
        <v>28.134650327358091</v>
      </c>
      <c r="T472" s="81"/>
      <c r="U472" s="74" t="s">
        <v>0</v>
      </c>
      <c r="V472" s="32"/>
      <c r="W472" s="32"/>
      <c r="X472" s="32"/>
      <c r="Y472" s="32"/>
      <c r="Z472" s="32"/>
      <c r="AA472" s="3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23"/>
    </row>
    <row r="473" spans="1:99" x14ac:dyDescent="0.2">
      <c r="A473" s="5"/>
      <c r="B473" s="2"/>
      <c r="C473" s="79"/>
      <c r="D473" s="3"/>
      <c r="E473" s="3"/>
      <c r="F473" s="3"/>
      <c r="G473" s="3"/>
      <c r="H473" s="31"/>
      <c r="I473" s="32"/>
      <c r="J473" s="32"/>
      <c r="K473" s="32"/>
      <c r="L473" s="32"/>
      <c r="M473" s="32"/>
      <c r="N473" s="32"/>
      <c r="O473" s="32"/>
      <c r="P473" s="32"/>
      <c r="Q473" s="8"/>
      <c r="R473" s="10"/>
      <c r="S473" s="80"/>
      <c r="T473" s="81"/>
      <c r="U473" s="74"/>
      <c r="V473" s="32"/>
      <c r="W473" s="32"/>
      <c r="X473" s="32"/>
      <c r="Y473" s="32"/>
      <c r="Z473" s="32"/>
      <c r="AA473" s="3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23"/>
      <c r="BG473" s="1" t="s">
        <v>20</v>
      </c>
    </row>
    <row r="474" spans="1:99" x14ac:dyDescent="0.2">
      <c r="A474" s="5"/>
      <c r="B474" s="2"/>
      <c r="C474" s="79"/>
      <c r="D474" s="3"/>
      <c r="E474" s="3"/>
      <c r="F474" s="3"/>
      <c r="G474" s="3"/>
      <c r="H474" s="31"/>
      <c r="I474" s="32"/>
      <c r="J474" s="32">
        <v>4</v>
      </c>
      <c r="K474" s="32"/>
      <c r="L474" s="32"/>
      <c r="M474" s="32"/>
      <c r="N474" s="32"/>
      <c r="O474" s="32"/>
      <c r="P474" s="32"/>
      <c r="Q474" s="8"/>
      <c r="R474" s="10"/>
      <c r="S474" s="73">
        <f>(N487*SIN((2*AP459*360/(2*PI()*N487))*PI()/180))*((N487*COS((2*AP459*360/(2*PI()*N487))*PI()/180))+AC478)/((N487*SIN((2*AP459*360/(2*PI()*N487))*PI()/180))+2*AI461)-(N487*COS((2*AP459*360/(2*PI()*N487))*PI()/180))+M472-S472</f>
        <v>6.1926489475258784</v>
      </c>
      <c r="T474" s="74"/>
      <c r="U474" s="74" t="s">
        <v>0</v>
      </c>
      <c r="V474" s="32"/>
      <c r="W474" s="32"/>
      <c r="X474" s="32"/>
      <c r="Y474" s="32">
        <v>13</v>
      </c>
      <c r="Z474" s="32"/>
      <c r="AA474" s="3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23"/>
    </row>
    <row r="475" spans="1:99" x14ac:dyDescent="0.2">
      <c r="A475" s="5"/>
      <c r="B475" s="2"/>
      <c r="D475" s="3"/>
      <c r="E475" s="3"/>
      <c r="F475" s="3"/>
      <c r="G475" s="3"/>
      <c r="H475" s="31"/>
      <c r="I475" s="32"/>
      <c r="J475" s="32"/>
      <c r="K475" s="32"/>
      <c r="L475" s="32"/>
      <c r="M475" s="32"/>
      <c r="N475" s="32"/>
      <c r="O475" s="32"/>
      <c r="P475" s="32"/>
      <c r="Q475" s="8"/>
      <c r="R475" s="10"/>
      <c r="S475" s="73"/>
      <c r="T475" s="74"/>
      <c r="U475" s="74"/>
      <c r="V475" s="32"/>
      <c r="W475" s="32"/>
      <c r="X475" s="32"/>
      <c r="Y475" s="32"/>
      <c r="Z475" s="32"/>
      <c r="AA475" s="33"/>
      <c r="AB475" s="3"/>
      <c r="AC475" s="3"/>
      <c r="AD475" s="3"/>
      <c r="AE475" s="79" t="s">
        <v>0</v>
      </c>
      <c r="AF475" s="3"/>
      <c r="AG475" s="3"/>
      <c r="AH475" s="3"/>
      <c r="AI475" s="3"/>
      <c r="AJ475" s="3"/>
      <c r="AK475" s="3"/>
      <c r="AL475" s="3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23"/>
    </row>
    <row r="476" spans="1:99" x14ac:dyDescent="0.2">
      <c r="A476" s="5"/>
      <c r="B476" s="2"/>
      <c r="D476" s="71">
        <f>3*AP459*(I487+N487+AI461*5)/(N487+AI461*5)-D482-D479</f>
        <v>38.401901886612741</v>
      </c>
      <c r="E476" s="71"/>
      <c r="F476" s="3" t="s">
        <v>0</v>
      </c>
      <c r="G476" s="3"/>
      <c r="H476" s="31"/>
      <c r="I476" s="32"/>
      <c r="J476" s="32"/>
      <c r="K476" s="32"/>
      <c r="L476" s="32"/>
      <c r="M476" s="32"/>
      <c r="N476" s="32"/>
      <c r="O476" s="32"/>
      <c r="P476" s="32"/>
      <c r="Q476" s="8"/>
      <c r="R476" s="10"/>
      <c r="S476" s="73">
        <f>(N487*SIN((3*AP459*360/(2*PI()*N487))*PI()/180))*((N487*COS((3*AP459*360/(2*PI()*N487))*PI()/180))+AC478)/((N487*SIN((3*AP459*360/(2*PI()*N487))*PI()/180))+3*AI461)-(N487*COS((3*AP459*360/(2*PI()*N487))*PI()/180))-S474+M472-S472</f>
        <v>9.7639437280809993</v>
      </c>
      <c r="T476" s="74"/>
      <c r="U476" s="32" t="s">
        <v>0</v>
      </c>
      <c r="V476" s="32"/>
      <c r="W476" s="32"/>
      <c r="X476" s="32"/>
      <c r="Y476" s="32"/>
      <c r="Z476" s="32"/>
      <c r="AA476" s="33"/>
      <c r="AB476" s="3"/>
      <c r="AC476" s="79" t="s">
        <v>0</v>
      </c>
      <c r="AD476" s="3"/>
      <c r="AE476" s="79"/>
      <c r="AF476" s="3"/>
      <c r="AG476" s="3"/>
      <c r="AH476" s="3"/>
      <c r="AI476" s="3"/>
      <c r="AJ476" s="3"/>
      <c r="AK476" s="3"/>
      <c r="AL476" s="3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23"/>
    </row>
    <row r="477" spans="1:99" x14ac:dyDescent="0.2">
      <c r="A477" s="5"/>
      <c r="B477" s="2"/>
      <c r="C477" s="3"/>
      <c r="D477" s="3"/>
      <c r="E477" s="3"/>
      <c r="F477" s="3"/>
      <c r="G477" s="3"/>
      <c r="H477" s="31"/>
      <c r="I477" s="32"/>
      <c r="J477" s="32">
        <v>3</v>
      </c>
      <c r="K477" s="32"/>
      <c r="L477" s="32"/>
      <c r="M477" s="32"/>
      <c r="N477" s="32"/>
      <c r="O477" s="32"/>
      <c r="P477" s="32"/>
      <c r="Q477" s="8"/>
      <c r="R477" s="10"/>
      <c r="S477" s="73">
        <f>+AC478+M472-S472-S474-S476-S478-S479-S481-S482</f>
        <v>12.421816285717497</v>
      </c>
      <c r="T477" s="74"/>
      <c r="U477" s="32" t="s">
        <v>0</v>
      </c>
      <c r="V477" s="32"/>
      <c r="W477" s="32"/>
      <c r="X477" s="32"/>
      <c r="Y477" s="32">
        <v>14</v>
      </c>
      <c r="Z477" s="32"/>
      <c r="AA477" s="33"/>
      <c r="AB477" s="3"/>
      <c r="AC477" s="79"/>
      <c r="AD477" s="3"/>
      <c r="AE477" s="79">
        <f>+AC478+M472</f>
        <v>138.61726630737002</v>
      </c>
      <c r="AF477" s="3"/>
      <c r="AG477" s="3"/>
      <c r="AH477" s="3"/>
      <c r="AI477" s="3"/>
      <c r="AJ477" s="3"/>
      <c r="AK477" s="3"/>
      <c r="AL477" s="3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23"/>
    </row>
    <row r="478" spans="1:99" x14ac:dyDescent="0.2">
      <c r="A478" s="5"/>
      <c r="B478" s="2"/>
      <c r="C478" s="3"/>
      <c r="D478" s="3"/>
      <c r="E478" s="3"/>
      <c r="F478" s="3"/>
      <c r="G478" s="3"/>
      <c r="H478" s="31"/>
      <c r="I478" s="32"/>
      <c r="J478" s="32"/>
      <c r="K478" s="32"/>
      <c r="L478" s="32"/>
      <c r="M478" s="32"/>
      <c r="N478" s="32"/>
      <c r="O478" s="32"/>
      <c r="P478" s="32"/>
      <c r="Q478" s="8"/>
      <c r="R478" s="10"/>
      <c r="S478" s="73">
        <f>4*AP459-((D482+D479+D476+D472)-4*AP459)*N487/I487-S482-S481-S479</f>
        <v>16.374591945407971</v>
      </c>
      <c r="T478" s="74"/>
      <c r="U478" s="32" t="s">
        <v>0</v>
      </c>
      <c r="V478" s="32"/>
      <c r="W478" s="32"/>
      <c r="X478" s="32"/>
      <c r="Y478" s="32"/>
      <c r="Z478" s="32"/>
      <c r="AA478" s="33"/>
      <c r="AB478" s="3"/>
      <c r="AC478" s="79">
        <f>(8*AP459)-(2*PI()*N487*90/360)</f>
        <v>126.11726630737</v>
      </c>
      <c r="AD478" s="3"/>
      <c r="AE478" s="79"/>
      <c r="AF478" s="3"/>
      <c r="AG478" s="3"/>
      <c r="AH478" s="3"/>
      <c r="AI478" s="3"/>
      <c r="AJ478" s="3"/>
      <c r="AK478" s="3"/>
      <c r="AL478" s="3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23"/>
    </row>
    <row r="479" spans="1:99" x14ac:dyDescent="0.2">
      <c r="A479" s="5"/>
      <c r="B479" s="2"/>
      <c r="C479" s="3"/>
      <c r="D479" s="71">
        <f>2*AP459*(I487+N487+AI461*6)/(N487+AI461*6)-D482</f>
        <v>36.502357608155528</v>
      </c>
      <c r="E479" s="71"/>
      <c r="F479" s="3" t="s">
        <v>0</v>
      </c>
      <c r="G479" s="3"/>
      <c r="H479" s="31"/>
      <c r="I479" s="32"/>
      <c r="J479" s="32">
        <v>2</v>
      </c>
      <c r="K479" s="32"/>
      <c r="L479" s="32"/>
      <c r="M479" s="32"/>
      <c r="N479" s="32"/>
      <c r="O479" s="32"/>
      <c r="P479" s="32"/>
      <c r="Q479" s="8"/>
      <c r="R479" s="10"/>
      <c r="S479" s="73">
        <f>3*AP459-((D482+D479+D476)-3*AP459)*N487/I487-S482-S481</f>
        <v>19.847701887009592</v>
      </c>
      <c r="T479" s="74"/>
      <c r="U479" s="74" t="s">
        <v>0</v>
      </c>
      <c r="V479" s="32"/>
      <c r="W479" s="32"/>
      <c r="X479" s="32"/>
      <c r="Y479" s="32">
        <v>15</v>
      </c>
      <c r="Z479" s="32"/>
      <c r="AA479" s="33"/>
      <c r="AB479" s="3"/>
      <c r="AC479" s="79"/>
      <c r="AD479" s="3"/>
      <c r="AE479" s="79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23"/>
    </row>
    <row r="480" spans="1:99" x14ac:dyDescent="0.2">
      <c r="A480" s="5"/>
      <c r="B480" s="2"/>
      <c r="C480" s="3"/>
      <c r="D480" s="3"/>
      <c r="E480" s="3"/>
      <c r="F480" s="3"/>
      <c r="G480" s="3"/>
      <c r="H480" s="31"/>
      <c r="I480" s="32"/>
      <c r="J480" s="32"/>
      <c r="K480" s="32"/>
      <c r="L480" s="32"/>
      <c r="M480" s="32"/>
      <c r="N480" s="32"/>
      <c r="O480" s="32"/>
      <c r="P480" s="32"/>
      <c r="Q480" s="8"/>
      <c r="R480" s="10"/>
      <c r="S480" s="73"/>
      <c r="T480" s="74"/>
      <c r="U480" s="74"/>
      <c r="V480" s="32"/>
      <c r="W480" s="32"/>
      <c r="X480" s="32"/>
      <c r="Y480" s="32"/>
      <c r="Z480" s="32"/>
      <c r="AA480" s="33"/>
      <c r="AB480" s="3"/>
      <c r="AC480" s="79"/>
      <c r="AD480" s="3"/>
      <c r="AE480" s="3"/>
      <c r="AF480" s="3"/>
      <c r="AG480" s="3"/>
      <c r="AH480" s="3"/>
      <c r="AI480" s="3"/>
      <c r="AJ480" s="3"/>
      <c r="AK480" s="3"/>
      <c r="AL480" s="3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23"/>
    </row>
    <row r="481" spans="1:87" x14ac:dyDescent="0.2">
      <c r="A481" s="5"/>
      <c r="B481" s="2"/>
      <c r="C481" s="3"/>
      <c r="D481" s="3"/>
      <c r="E481" s="3"/>
      <c r="F481" s="3"/>
      <c r="G481" s="3"/>
      <c r="H481" s="31"/>
      <c r="I481" s="32"/>
      <c r="J481" s="32"/>
      <c r="K481" s="32"/>
      <c r="L481" s="32"/>
      <c r="M481" s="32"/>
      <c r="N481" s="32"/>
      <c r="O481" s="32"/>
      <c r="P481" s="32"/>
      <c r="Q481" s="8"/>
      <c r="R481" s="10"/>
      <c r="S481" s="73">
        <f>2*AP459-((D482+D479)-2*AP459)*N487/I487-S482</f>
        <v>22.142984556812074</v>
      </c>
      <c r="T481" s="74"/>
      <c r="U481" s="32" t="s">
        <v>0</v>
      </c>
      <c r="V481" s="32"/>
      <c r="W481" s="32"/>
      <c r="X481" s="32"/>
      <c r="Y481" s="32"/>
      <c r="Z481" s="32"/>
      <c r="AA481" s="3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5"/>
    </row>
    <row r="482" spans="1:87" x14ac:dyDescent="0.2">
      <c r="A482" s="5"/>
      <c r="B482" s="2"/>
      <c r="C482" s="3"/>
      <c r="D482" s="71">
        <f>1*AP459*(I487+N487+AI461*7)/(N487+AI461*7)</f>
        <v>35.181576306655522</v>
      </c>
      <c r="E482" s="71"/>
      <c r="F482" s="3" t="s">
        <v>0</v>
      </c>
      <c r="G482" s="3"/>
      <c r="H482" s="31"/>
      <c r="I482" s="32"/>
      <c r="J482" s="32">
        <v>1</v>
      </c>
      <c r="K482" s="32"/>
      <c r="L482" s="32"/>
      <c r="M482" s="32"/>
      <c r="N482" s="32"/>
      <c r="O482" s="32"/>
      <c r="P482" s="32"/>
      <c r="Q482" s="8"/>
      <c r="R482" s="10"/>
      <c r="S482" s="73">
        <f>AP459-(D482-AP459)*N487/I487</f>
        <v>23.738928629457909</v>
      </c>
      <c r="T482" s="74"/>
      <c r="U482" s="74" t="s">
        <v>0</v>
      </c>
      <c r="V482" s="32"/>
      <c r="W482" s="32"/>
      <c r="X482" s="32"/>
      <c r="Y482" s="32">
        <v>16</v>
      </c>
      <c r="Z482" s="32"/>
      <c r="AA482" s="3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5"/>
    </row>
    <row r="483" spans="1:87" x14ac:dyDescent="0.2">
      <c r="A483" s="5"/>
      <c r="B483" s="2"/>
      <c r="C483" s="3"/>
      <c r="D483" s="3"/>
      <c r="E483" s="3"/>
      <c r="F483" s="3"/>
      <c r="G483" s="3"/>
      <c r="H483" s="35"/>
      <c r="I483" s="36"/>
      <c r="J483" s="36"/>
      <c r="K483" s="36"/>
      <c r="L483" s="36"/>
      <c r="M483" s="36"/>
      <c r="N483" s="36"/>
      <c r="O483" s="36"/>
      <c r="P483" s="36"/>
      <c r="Q483" s="11"/>
      <c r="R483" s="12"/>
      <c r="S483" s="75"/>
      <c r="T483" s="76"/>
      <c r="U483" s="76"/>
      <c r="V483" s="36"/>
      <c r="W483" s="36"/>
      <c r="X483" s="36"/>
      <c r="Y483" s="36"/>
      <c r="Z483" s="36"/>
      <c r="AA483" s="37"/>
      <c r="AB483" s="3"/>
      <c r="AC483" s="3"/>
      <c r="AD483" s="3"/>
      <c r="AE483" s="3"/>
      <c r="AF483" s="3"/>
      <c r="AG483" s="3"/>
      <c r="AH483" s="3"/>
      <c r="AI483" s="3"/>
      <c r="AJ483" s="3" t="s">
        <v>9</v>
      </c>
      <c r="AK483" s="3"/>
      <c r="AL483" s="71">
        <f>+AP459</f>
        <v>30</v>
      </c>
      <c r="AM483" s="71"/>
      <c r="AN483" s="3" t="s">
        <v>0</v>
      </c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5"/>
    </row>
    <row r="484" spans="1:87" x14ac:dyDescent="0.2">
      <c r="A484" s="5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Z484" s="3"/>
      <c r="BA484" s="3"/>
      <c r="BB484" s="3"/>
      <c r="BC484" s="5"/>
    </row>
    <row r="485" spans="1:87" x14ac:dyDescent="0.2">
      <c r="A485" s="5"/>
      <c r="B485" s="2"/>
      <c r="C485" s="3"/>
      <c r="D485" s="3"/>
      <c r="E485" s="3"/>
      <c r="F485" s="3"/>
      <c r="G485" s="3"/>
      <c r="H485" s="3"/>
      <c r="I485" s="3"/>
      <c r="J485" s="3"/>
      <c r="K485" s="78">
        <v>120</v>
      </c>
      <c r="L485" s="78"/>
      <c r="M485" s="3" t="s">
        <v>0</v>
      </c>
      <c r="N485" s="3"/>
      <c r="O485" s="3"/>
      <c r="P485" s="3"/>
      <c r="Q485" s="78">
        <v>25</v>
      </c>
      <c r="R485" s="78"/>
      <c r="S485" s="3" t="s">
        <v>0</v>
      </c>
      <c r="T485" s="3"/>
      <c r="U485" s="3"/>
      <c r="V485" s="71">
        <f>+K485</f>
        <v>120</v>
      </c>
      <c r="W485" s="71"/>
      <c r="X485" s="3" t="s">
        <v>0</v>
      </c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Z485" s="3"/>
      <c r="BA485" s="3"/>
      <c r="BB485" s="3"/>
      <c r="BC485" s="5"/>
    </row>
    <row r="486" spans="1:87" x14ac:dyDescent="0.2">
      <c r="A486" s="5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Z486" s="3"/>
      <c r="BA486" s="3"/>
      <c r="BB486" s="3"/>
      <c r="BC486" s="5"/>
    </row>
    <row r="487" spans="1:87" x14ac:dyDescent="0.2">
      <c r="A487" s="5"/>
      <c r="B487" s="2"/>
      <c r="C487" s="3"/>
      <c r="D487" s="3"/>
      <c r="E487" s="3"/>
      <c r="F487" s="3"/>
      <c r="G487" s="3"/>
      <c r="H487" s="3"/>
      <c r="I487" s="71">
        <f>+K485/2</f>
        <v>60</v>
      </c>
      <c r="J487" s="71"/>
      <c r="K487" s="3" t="s">
        <v>0</v>
      </c>
      <c r="L487" s="3"/>
      <c r="M487" s="3"/>
      <c r="N487" s="71">
        <f>+K485/2+Q485/2</f>
        <v>72.5</v>
      </c>
      <c r="O487" s="71"/>
      <c r="P487" s="3" t="s">
        <v>0</v>
      </c>
      <c r="Q487" s="3"/>
      <c r="R487" s="3"/>
      <c r="S487" s="3"/>
      <c r="T487" s="71">
        <f>+V485/2+Q485/2</f>
        <v>72.5</v>
      </c>
      <c r="U487" s="71"/>
      <c r="V487" s="3" t="s">
        <v>0</v>
      </c>
      <c r="W487" s="3"/>
      <c r="X487" s="3"/>
      <c r="Y487" s="71">
        <f>+V485/2</f>
        <v>60</v>
      </c>
      <c r="Z487" s="71"/>
      <c r="AA487" s="3" t="s">
        <v>0</v>
      </c>
      <c r="AB487" s="3"/>
      <c r="AC487" s="3"/>
      <c r="AD487" s="3"/>
      <c r="AE487" s="3"/>
      <c r="AF487" s="3"/>
      <c r="AG487" s="3"/>
      <c r="AH487" s="3"/>
      <c r="AJ487" s="3" t="s">
        <v>21</v>
      </c>
      <c r="AK487" s="3"/>
      <c r="AL487" s="3"/>
      <c r="AM487" s="3"/>
      <c r="AN487" s="3"/>
      <c r="AO487" s="3"/>
      <c r="AP487" s="38"/>
      <c r="AQ487" s="38"/>
      <c r="AR487" s="9"/>
      <c r="AS487" s="3"/>
      <c r="AT487" s="3"/>
      <c r="AU487" s="3"/>
      <c r="AZ487" s="3"/>
      <c r="BA487" s="3"/>
      <c r="BB487" s="3"/>
      <c r="BC487" s="5"/>
    </row>
    <row r="488" spans="1:87" x14ac:dyDescent="0.2">
      <c r="A488" s="5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Z488" s="3"/>
      <c r="BA488" s="3"/>
      <c r="BB488" s="3"/>
      <c r="BC488" s="5"/>
    </row>
    <row r="489" spans="1:87" x14ac:dyDescent="0.2">
      <c r="A489" s="5"/>
      <c r="B489" s="2"/>
      <c r="C489" s="3"/>
      <c r="D489" s="3"/>
      <c r="E489" s="3"/>
      <c r="F489" s="3"/>
      <c r="G489" s="3"/>
      <c r="H489" s="3"/>
      <c r="I489" s="3"/>
      <c r="J489" s="3"/>
      <c r="K489" s="72">
        <f>+K485+Q485/2</f>
        <v>132.5</v>
      </c>
      <c r="L489" s="72"/>
      <c r="M489" s="72"/>
      <c r="N489" s="3" t="s">
        <v>0</v>
      </c>
      <c r="O489" s="3"/>
      <c r="P489" s="3"/>
      <c r="Q489" s="3"/>
      <c r="R489" s="3"/>
      <c r="S489" s="3"/>
      <c r="T489" s="3"/>
      <c r="U489" s="71">
        <f>+K489</f>
        <v>132.5</v>
      </c>
      <c r="V489" s="71"/>
      <c r="W489" s="71"/>
      <c r="X489" s="3" t="s">
        <v>0</v>
      </c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Z489" s="3"/>
      <c r="BA489" s="3"/>
      <c r="BB489" s="3"/>
      <c r="BC489" s="5"/>
    </row>
    <row r="490" spans="1:87" x14ac:dyDescent="0.2">
      <c r="A490" s="5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Z490" s="3"/>
      <c r="BA490" s="3"/>
      <c r="BB490" s="3"/>
      <c r="BC490" s="5"/>
    </row>
    <row r="491" spans="1:87" x14ac:dyDescent="0.2">
      <c r="A491" s="5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71">
        <f>+K485+Q485+V485</f>
        <v>265</v>
      </c>
      <c r="R491" s="71"/>
      <c r="S491" s="3" t="s">
        <v>0</v>
      </c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5"/>
    </row>
    <row r="492" spans="1:87" ht="12" thickBot="1" x14ac:dyDescent="0.25">
      <c r="A492" s="5"/>
      <c r="B492" s="13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5"/>
    </row>
    <row r="493" spans="1:87" ht="12" thickBot="1" x14ac:dyDescent="0.25"/>
    <row r="494" spans="1:87" ht="48.75" customHeight="1" x14ac:dyDescent="0.2">
      <c r="A494" s="18"/>
      <c r="B494" s="85" t="s">
        <v>27</v>
      </c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  <c r="AA494" s="85"/>
      <c r="AB494" s="85"/>
      <c r="AC494" s="85"/>
      <c r="AD494" s="85"/>
      <c r="AE494" s="85"/>
      <c r="AF494" s="85"/>
      <c r="AG494" s="85"/>
      <c r="AH494" s="85"/>
      <c r="AI494" s="85"/>
      <c r="AJ494" s="85"/>
      <c r="AK494" s="85"/>
      <c r="AL494" s="85"/>
      <c r="AM494" s="85"/>
      <c r="AN494" s="85"/>
      <c r="AO494" s="85"/>
      <c r="AP494" s="85"/>
      <c r="AQ494" s="85"/>
      <c r="AR494" s="85"/>
      <c r="AS494" s="85"/>
      <c r="AT494" s="85"/>
      <c r="AU494" s="85"/>
      <c r="AV494" s="85"/>
      <c r="AW494" s="85"/>
      <c r="AX494" s="85"/>
      <c r="AY494" s="85"/>
      <c r="AZ494" s="85"/>
      <c r="BA494" s="85"/>
      <c r="BB494" s="85"/>
      <c r="BC494" s="86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7"/>
      <c r="BS494" s="17"/>
      <c r="BT494" s="17"/>
      <c r="BU494" s="17"/>
      <c r="BV494" s="17"/>
      <c r="BW494" s="17"/>
      <c r="BX494" s="17"/>
      <c r="BY494" s="17"/>
      <c r="BZ494" s="17"/>
      <c r="CA494" s="17"/>
      <c r="CB494" s="17"/>
      <c r="CC494" s="17"/>
      <c r="CD494" s="17"/>
      <c r="CE494" s="17"/>
      <c r="CF494" s="17"/>
      <c r="CG494" s="17"/>
      <c r="CH494" s="17"/>
      <c r="CI494" s="17"/>
    </row>
    <row r="495" spans="1:87" x14ac:dyDescent="0.2">
      <c r="A495" s="23"/>
      <c r="B495" s="3"/>
      <c r="C495" s="3"/>
      <c r="D495" s="3"/>
      <c r="E495" s="3"/>
      <c r="F495" s="3"/>
      <c r="G495" s="3"/>
      <c r="H495" s="3"/>
      <c r="I495" s="3"/>
      <c r="J495" s="3"/>
      <c r="K495" s="3"/>
      <c r="N495" s="3"/>
      <c r="O495" s="3"/>
      <c r="P495" s="3"/>
      <c r="Q495" s="3"/>
      <c r="R495" s="3"/>
      <c r="S495" s="3"/>
      <c r="T495" s="3"/>
      <c r="U495" s="3"/>
      <c r="X495" s="3"/>
      <c r="Y495" s="3"/>
      <c r="Z495" s="16" t="s">
        <v>5</v>
      </c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18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7"/>
      <c r="BS495" s="17"/>
      <c r="BT495" s="17"/>
      <c r="BU495" s="17"/>
      <c r="BV495" s="17"/>
      <c r="BW495" s="17"/>
      <c r="BX495" s="17"/>
      <c r="BY495" s="17"/>
      <c r="BZ495" s="17"/>
      <c r="CA495" s="17"/>
      <c r="CB495" s="17"/>
      <c r="CC495" s="17"/>
      <c r="CD495" s="17"/>
      <c r="CE495" s="17"/>
      <c r="CF495" s="17"/>
      <c r="CG495" s="17"/>
      <c r="CH495" s="17"/>
      <c r="CI495" s="17"/>
    </row>
    <row r="496" spans="1:87" x14ac:dyDescent="0.2">
      <c r="A496" s="23"/>
      <c r="B496" s="3"/>
      <c r="C496" s="3"/>
      <c r="D496" s="3"/>
      <c r="E496" s="3"/>
      <c r="F496" s="3"/>
      <c r="G496" s="3"/>
      <c r="H496" s="3"/>
      <c r="I496" s="3"/>
      <c r="J496" s="3"/>
      <c r="K496" s="71">
        <f>+K527</f>
        <v>132.5</v>
      </c>
      <c r="L496" s="71"/>
      <c r="M496" s="71"/>
      <c r="N496" s="3" t="s">
        <v>0</v>
      </c>
      <c r="O496" s="3"/>
      <c r="P496" s="3"/>
      <c r="Q496" s="3"/>
      <c r="R496" s="3"/>
      <c r="S496" s="3"/>
      <c r="T496" s="3"/>
      <c r="U496" s="71">
        <f>+K496</f>
        <v>132.5</v>
      </c>
      <c r="V496" s="71"/>
      <c r="W496" s="71"/>
      <c r="X496" s="3" t="s">
        <v>0</v>
      </c>
      <c r="Y496" s="3"/>
      <c r="Z496" s="16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5"/>
    </row>
    <row r="497" spans="1:97" x14ac:dyDescent="0.2">
      <c r="A497" s="23"/>
      <c r="B497" s="3"/>
      <c r="C497" s="3"/>
      <c r="F497" s="3"/>
      <c r="G497" s="3"/>
      <c r="H497" s="3"/>
      <c r="I497" s="3"/>
      <c r="J497" s="3"/>
      <c r="K497" s="3"/>
      <c r="Q497" s="3"/>
      <c r="R497" s="3"/>
      <c r="X497" s="3"/>
      <c r="Y497" s="3"/>
      <c r="Z497" s="3"/>
      <c r="AA497" s="3"/>
      <c r="AB497" s="3"/>
      <c r="AC497" s="3"/>
      <c r="AD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5"/>
    </row>
    <row r="498" spans="1:97" x14ac:dyDescent="0.2">
      <c r="A498" s="23"/>
      <c r="B498" s="3"/>
      <c r="C498" s="3"/>
      <c r="D498" s="3"/>
      <c r="E498" s="3"/>
      <c r="F498" s="3"/>
      <c r="G498" s="3"/>
      <c r="H498" s="71">
        <f>+K496-L498-P498</f>
        <v>58.343720928726356</v>
      </c>
      <c r="I498" s="71"/>
      <c r="J498" s="3" t="s">
        <v>0</v>
      </c>
      <c r="K498" s="3"/>
      <c r="L498" s="71">
        <f>(N525*SIN((1.5*AT498*360/(2*PI()*N525))*PI()/180))*((I525+N525-(N525*COS((1.5*AT498*360/(2*PI()*N525))*PI()/180)))+((N525*SIN((1.5*AT498*360/(2*PI()*N525))*PI()/180))*((N525*COS((1.5*AT498*360/(2*PI()*N525))*PI()/180))+AC516)/((N525*SIN((1.5*AT498*360/(2*PI()*N525))*PI()/180))+2*AM500)))/((N525*SIN((1.5*AT498*360/(2*PI()*N525))*PI()/180))*((N525*COS((1.5*AT498*360/(2*PI()*N525))*PI()/180))+AC516)/((N525*SIN((1.5*AT498*360/(2*PI()*N525))*PI()/180))+2*AM500))-P498</f>
        <v>48.846469673837461</v>
      </c>
      <c r="M498" s="71"/>
      <c r="N498" s="1" t="s">
        <v>0</v>
      </c>
      <c r="P498" s="71">
        <f>((N525*SIN((AT498/2*360/(2*PI()*N525))*PI()/180))-Q508)*(I525-((N525*COS((AT498/2*360/(2*PI()*N525))*PI()/180))-M511)+I525)/((N525*COS((AT498/2*360/(2*PI()*N525))*PI()/180))-M511)+(N525*SIN((AT498/2*360/(2*PI()*N525))*PI()/180))</f>
        <v>25.309809397436183</v>
      </c>
      <c r="Q498" s="71"/>
      <c r="R498" s="71">
        <f>+P498</f>
        <v>25.309809397436183</v>
      </c>
      <c r="S498" s="71"/>
      <c r="U498" s="71">
        <f>+L498</f>
        <v>48.846469673837461</v>
      </c>
      <c r="V498" s="71"/>
      <c r="W498" s="1" t="s">
        <v>0</v>
      </c>
      <c r="X498" s="3"/>
      <c r="Y498" s="71">
        <f>+H498</f>
        <v>58.343720928726356</v>
      </c>
      <c r="Z498" s="71"/>
      <c r="AA498" s="3" t="s">
        <v>0</v>
      </c>
      <c r="AB498" s="3"/>
      <c r="AC498" s="3"/>
      <c r="AD498" s="3"/>
      <c r="AG498" s="3"/>
      <c r="AM498" s="3" t="s">
        <v>1</v>
      </c>
      <c r="AN498" s="3"/>
      <c r="AO498" s="3"/>
      <c r="AP498" s="3"/>
      <c r="AQ498" s="3"/>
      <c r="AR498" s="3"/>
      <c r="AS498" s="3"/>
      <c r="AT498" s="78">
        <v>30</v>
      </c>
      <c r="AU498" s="78"/>
      <c r="AV498" s="3" t="s">
        <v>0</v>
      </c>
      <c r="AW498" s="3"/>
      <c r="AX498" s="3"/>
      <c r="AY498" s="3"/>
      <c r="AZ498" s="3"/>
      <c r="BA498" s="3"/>
      <c r="BB498" s="3"/>
      <c r="BC498" s="5"/>
      <c r="BG498" s="27" t="s">
        <v>22</v>
      </c>
      <c r="CS498" s="3"/>
    </row>
    <row r="499" spans="1:97" x14ac:dyDescent="0.2">
      <c r="A499" s="2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M499" s="3" t="s">
        <v>3</v>
      </c>
      <c r="AN499" s="3"/>
      <c r="AO499" s="3"/>
      <c r="AP499" s="3"/>
      <c r="AQ499" s="3"/>
      <c r="AR499" s="3"/>
      <c r="AS499" s="9">
        <v>15</v>
      </c>
      <c r="AT499" s="3" t="s">
        <v>4</v>
      </c>
      <c r="AU499" s="3"/>
      <c r="AV499" s="3"/>
      <c r="AW499" s="3"/>
      <c r="AX499" s="3"/>
      <c r="AY499" s="3"/>
      <c r="AZ499" s="3"/>
      <c r="BA499" s="3"/>
      <c r="BB499" s="3"/>
      <c r="BC499" s="5"/>
      <c r="BG499" s="3" t="s">
        <v>18</v>
      </c>
      <c r="BH499" s="3"/>
      <c r="BI499" s="3"/>
      <c r="BJ499" s="3"/>
      <c r="BK499" s="3"/>
      <c r="BL499" s="78">
        <v>2.5</v>
      </c>
      <c r="BM499" s="78"/>
      <c r="BN499" s="3" t="s">
        <v>10</v>
      </c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CS499" s="3"/>
    </row>
    <row r="500" spans="1:97" x14ac:dyDescent="0.2">
      <c r="A500" s="2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M500" s="82">
        <f>P498*(AC516+M511-S511)/(AC506-M511+S511)</f>
        <v>15.922025974456622</v>
      </c>
      <c r="AN500" s="82"/>
      <c r="AO500" s="82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5"/>
      <c r="BG500" s="21" t="s">
        <v>6</v>
      </c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CS500" s="3"/>
    </row>
    <row r="501" spans="1:97" x14ac:dyDescent="0.2">
      <c r="A501" s="23"/>
      <c r="B501" s="3"/>
      <c r="C501" s="3"/>
      <c r="D501" s="71">
        <f>+C510-D509-D514-D517-D520-D504</f>
        <v>1.0026931525601981</v>
      </c>
      <c r="E501" s="71"/>
      <c r="F501" s="3" t="s">
        <v>0</v>
      </c>
      <c r="G501" s="3"/>
      <c r="H501" s="28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30"/>
      <c r="AB501" s="3"/>
      <c r="AC501" s="3"/>
      <c r="AD501" s="3"/>
      <c r="AE501" s="3"/>
      <c r="AF501" s="3"/>
      <c r="AG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5"/>
      <c r="BG501" s="3" t="s">
        <v>7</v>
      </c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CS501" s="3"/>
    </row>
    <row r="502" spans="1:97" x14ac:dyDescent="0.2">
      <c r="A502" s="23"/>
      <c r="B502" s="3"/>
      <c r="C502" s="3"/>
      <c r="G502" s="3"/>
      <c r="H502" s="31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3"/>
      <c r="AB502" s="3"/>
      <c r="AC502" s="3"/>
      <c r="AD502" s="3"/>
      <c r="AE502" s="3"/>
      <c r="AF502" s="3"/>
      <c r="AG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5"/>
      <c r="BG502" s="3" t="s">
        <v>8</v>
      </c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CS502" s="3"/>
    </row>
    <row r="503" spans="1:97" x14ac:dyDescent="0.2">
      <c r="A503" s="23"/>
      <c r="B503" s="3"/>
      <c r="C503" s="3"/>
      <c r="D503" s="3"/>
      <c r="E503" s="3"/>
      <c r="F503" s="3"/>
      <c r="G503" s="3"/>
      <c r="H503" s="31"/>
      <c r="I503" s="32"/>
      <c r="J503" s="32"/>
      <c r="K503" s="32"/>
      <c r="L503" s="32"/>
      <c r="M503" s="32"/>
      <c r="N503" s="32">
        <v>7</v>
      </c>
      <c r="O503" s="34"/>
      <c r="P503" s="32"/>
      <c r="Q503" s="74">
        <v>8</v>
      </c>
      <c r="R503" s="74"/>
      <c r="S503" s="32"/>
      <c r="T503" s="32"/>
      <c r="U503" s="32">
        <v>9</v>
      </c>
      <c r="V503" s="32"/>
      <c r="W503" s="32"/>
      <c r="X503" s="32"/>
      <c r="Y503" s="32">
        <v>10</v>
      </c>
      <c r="Z503" s="32"/>
      <c r="AA503" s="33"/>
      <c r="AB503" s="3"/>
      <c r="AC503" s="3"/>
      <c r="AD503" s="3"/>
      <c r="AE503" s="3"/>
      <c r="AF503" s="3"/>
      <c r="AG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5"/>
      <c r="BG503" s="3" t="s">
        <v>9</v>
      </c>
      <c r="BH503" s="3"/>
      <c r="BI503" s="71">
        <f>0.63-2*BI504</f>
        <v>0.29666666666666669</v>
      </c>
      <c r="BJ503" s="71"/>
      <c r="BK503" s="71"/>
      <c r="BL503" s="3" t="s">
        <v>10</v>
      </c>
      <c r="BM503" s="3" t="s">
        <v>11</v>
      </c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CS503" s="3"/>
    </row>
    <row r="504" spans="1:97" x14ac:dyDescent="0.2">
      <c r="A504" s="23"/>
      <c r="B504" s="3"/>
      <c r="C504" s="3"/>
      <c r="D504" s="71">
        <f>(S516+S517+S518+S520+S521)*(K527+3*AM500)/(3*AM500)-D509-D514-D517-D520</f>
        <v>69.086019493280219</v>
      </c>
      <c r="E504" s="71"/>
      <c r="F504" s="3" t="s">
        <v>0</v>
      </c>
      <c r="G504" s="3"/>
      <c r="H504" s="31"/>
      <c r="I504" s="32"/>
      <c r="J504" s="32"/>
      <c r="K504" s="32">
        <v>6</v>
      </c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3"/>
      <c r="AB504" s="3"/>
      <c r="AC504" s="79" t="s">
        <v>0</v>
      </c>
      <c r="AD504" s="3"/>
      <c r="AE504" s="79" t="s">
        <v>0</v>
      </c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5"/>
      <c r="BG504" s="3" t="s">
        <v>12</v>
      </c>
      <c r="BH504" s="3"/>
      <c r="BI504" s="71">
        <f>BL499/BL505</f>
        <v>0.16666666666666666</v>
      </c>
      <c r="BJ504" s="71"/>
      <c r="BK504" s="71"/>
      <c r="BL504" s="3" t="s">
        <v>10</v>
      </c>
      <c r="BM504" s="3" t="s">
        <v>13</v>
      </c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CS504" s="3"/>
    </row>
    <row r="505" spans="1:97" x14ac:dyDescent="0.2">
      <c r="A505" s="23"/>
      <c r="B505" s="3"/>
      <c r="C505" s="3"/>
      <c r="D505" s="3"/>
      <c r="E505" s="3"/>
      <c r="F505" s="3"/>
      <c r="G505" s="3"/>
      <c r="H505" s="31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3"/>
      <c r="AB505" s="3"/>
      <c r="AC505" s="79"/>
      <c r="AD505" s="3"/>
      <c r="AE505" s="79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5"/>
      <c r="BG505" s="3" t="s">
        <v>14</v>
      </c>
      <c r="BH505" s="3"/>
      <c r="BI505" s="3"/>
      <c r="BJ505" s="3"/>
      <c r="BK505" s="3"/>
      <c r="BL505" s="72">
        <v>15</v>
      </c>
      <c r="BM505" s="72"/>
      <c r="BN505" s="3" t="s">
        <v>4</v>
      </c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</row>
    <row r="506" spans="1:97" x14ac:dyDescent="0.2">
      <c r="A506" s="23"/>
      <c r="B506" s="3"/>
      <c r="C506" s="3"/>
      <c r="G506" s="3"/>
      <c r="H506" s="31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3"/>
      <c r="AB506" s="3"/>
      <c r="AC506" s="79">
        <f>+K523+Q523/2</f>
        <v>132.5</v>
      </c>
      <c r="AD506" s="3"/>
      <c r="AE506" s="79">
        <f>+C510-AE516</f>
        <v>120.00000000000001</v>
      </c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9"/>
      <c r="AY506" s="9"/>
      <c r="AZ506" s="9"/>
      <c r="BA506" s="9"/>
      <c r="BB506" s="9"/>
      <c r="BC506" s="23"/>
      <c r="BG506" s="3">
        <v>2</v>
      </c>
      <c r="BH506" s="39" t="s">
        <v>15</v>
      </c>
      <c r="BI506" s="71">
        <f>+BI504</f>
        <v>0.16666666666666666</v>
      </c>
      <c r="BJ506" s="71"/>
      <c r="BK506" s="71"/>
      <c r="BL506" s="39" t="s">
        <v>16</v>
      </c>
      <c r="BM506" s="71">
        <f>+BI503</f>
        <v>0.29666666666666669</v>
      </c>
      <c r="BN506" s="71"/>
      <c r="BO506" s="71"/>
      <c r="BP506" s="39" t="s">
        <v>17</v>
      </c>
      <c r="BQ506" s="71">
        <f>+BG506*BI506+BM506</f>
        <v>0.63</v>
      </c>
      <c r="BR506" s="71"/>
      <c r="BS506" s="71"/>
      <c r="BT506" s="3" t="s">
        <v>10</v>
      </c>
      <c r="BU506" s="3"/>
      <c r="BV506" s="16" t="str">
        <f>IF(BQ506=0.63,"uygun.","uygun değil.")</f>
        <v>uygun.</v>
      </c>
      <c r="BW506" s="3"/>
      <c r="BX506" s="3"/>
      <c r="BY506" s="3"/>
    </row>
    <row r="507" spans="1:97" x14ac:dyDescent="0.2">
      <c r="A507" s="23"/>
      <c r="B507" s="3"/>
      <c r="C507" s="3"/>
      <c r="D507" s="3"/>
      <c r="E507" s="3"/>
      <c r="F507" s="3"/>
      <c r="G507" s="3"/>
      <c r="H507" s="31"/>
      <c r="I507" s="32"/>
      <c r="J507" s="32">
        <v>5</v>
      </c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>
        <v>11</v>
      </c>
      <c r="Z507" s="32"/>
      <c r="AA507" s="33"/>
      <c r="AB507" s="3"/>
      <c r="AC507" s="79"/>
      <c r="AD507" s="3"/>
      <c r="AE507" s="79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9"/>
      <c r="AY507" s="9"/>
      <c r="AZ507" s="9"/>
      <c r="BA507" s="9"/>
      <c r="BB507" s="9"/>
      <c r="BC507" s="23"/>
    </row>
    <row r="508" spans="1:97" x14ac:dyDescent="0.2">
      <c r="A508" s="23"/>
      <c r="B508" s="3"/>
      <c r="C508" s="79" t="s">
        <v>0</v>
      </c>
      <c r="D508" s="3"/>
      <c r="E508" s="3"/>
      <c r="F508" s="3"/>
      <c r="G508" s="3"/>
      <c r="H508" s="31"/>
      <c r="I508" s="32"/>
      <c r="J508" s="32"/>
      <c r="K508" s="32"/>
      <c r="L508" s="32"/>
      <c r="M508" s="32"/>
      <c r="N508" s="32"/>
      <c r="O508" s="32"/>
      <c r="P508" s="32"/>
      <c r="Q508" s="20">
        <v>5</v>
      </c>
      <c r="R508" s="32" t="s">
        <v>0</v>
      </c>
      <c r="S508" s="32"/>
      <c r="T508" s="32"/>
      <c r="U508" s="32"/>
      <c r="V508" s="32"/>
      <c r="W508" s="32"/>
      <c r="X508" s="32"/>
      <c r="Y508" s="32"/>
      <c r="Z508" s="32"/>
      <c r="AA508" s="33"/>
      <c r="AB508" s="3"/>
      <c r="AC508" s="79"/>
      <c r="AD508" s="3"/>
      <c r="AE508" s="79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9"/>
      <c r="AY508" s="9"/>
      <c r="AZ508" s="9"/>
      <c r="BA508" s="9"/>
      <c r="BB508" s="9"/>
      <c r="BC508" s="23"/>
    </row>
    <row r="509" spans="1:97" x14ac:dyDescent="0.2">
      <c r="A509" s="23"/>
      <c r="B509" s="3"/>
      <c r="C509" s="79"/>
      <c r="D509" s="71">
        <f>((S517+S518+S520+S521)*(K527+4*AM500)/(4*AM500))-((S518+S520+S521)*(K527+5*AM500)/(5*AM500))</f>
        <v>48.027959424091094</v>
      </c>
      <c r="E509" s="71"/>
      <c r="F509" s="3" t="s">
        <v>0</v>
      </c>
      <c r="G509" s="3"/>
      <c r="H509" s="31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9"/>
      <c r="AY509" s="9"/>
      <c r="AZ509" s="9"/>
      <c r="BA509" s="9"/>
      <c r="BB509" s="9"/>
      <c r="BC509" s="23"/>
      <c r="BG509" s="1" t="s">
        <v>19</v>
      </c>
    </row>
    <row r="510" spans="1:97" x14ac:dyDescent="0.2">
      <c r="A510" s="23"/>
      <c r="B510" s="3"/>
      <c r="C510" s="79">
        <f>+AC506+AC516</f>
        <v>243.61726630737002</v>
      </c>
      <c r="D510" s="3"/>
      <c r="E510" s="3"/>
      <c r="F510" s="3"/>
      <c r="G510" s="3"/>
      <c r="H510" s="31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Y510" s="9"/>
      <c r="AZ510" s="9"/>
      <c r="BA510" s="9"/>
      <c r="BB510" s="9"/>
      <c r="BC510" s="23"/>
      <c r="BG510" s="4" t="s">
        <v>2</v>
      </c>
    </row>
    <row r="511" spans="1:97" x14ac:dyDescent="0.2">
      <c r="A511" s="23"/>
      <c r="B511" s="3"/>
      <c r="C511" s="79"/>
      <c r="G511" s="3"/>
      <c r="H511" s="31"/>
      <c r="I511" s="32"/>
      <c r="J511" s="32">
        <v>4</v>
      </c>
      <c r="K511" s="32"/>
      <c r="L511" s="32"/>
      <c r="M511" s="74">
        <f>+Q523/2</f>
        <v>12.5</v>
      </c>
      <c r="N511" s="74"/>
      <c r="O511" s="32"/>
      <c r="P511" s="32"/>
      <c r="Q511" s="6"/>
      <c r="R511" s="7"/>
      <c r="S511" s="80">
        <f>Q508*K523/(P498-Q508)</f>
        <v>29.542374734237598</v>
      </c>
      <c r="T511" s="81"/>
      <c r="U511" s="74" t="s">
        <v>0</v>
      </c>
      <c r="V511" s="32"/>
      <c r="W511" s="32"/>
      <c r="X511" s="32"/>
      <c r="Y511" s="32">
        <v>12</v>
      </c>
      <c r="Z511" s="32"/>
      <c r="AA511" s="3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23"/>
    </row>
    <row r="512" spans="1:97" x14ac:dyDescent="0.2">
      <c r="A512" s="23"/>
      <c r="B512" s="3"/>
      <c r="C512" s="79"/>
      <c r="D512" s="3"/>
      <c r="E512" s="3"/>
      <c r="F512" s="3"/>
      <c r="G512" s="3"/>
      <c r="H512" s="31"/>
      <c r="I512" s="32"/>
      <c r="J512" s="32"/>
      <c r="K512" s="32"/>
      <c r="L512" s="32"/>
      <c r="M512" s="32"/>
      <c r="N512" s="32"/>
      <c r="O512" s="32"/>
      <c r="P512" s="32"/>
      <c r="Q512" s="8"/>
      <c r="R512" s="10"/>
      <c r="S512" s="80"/>
      <c r="T512" s="81"/>
      <c r="U512" s="74"/>
      <c r="V512" s="32"/>
      <c r="W512" s="32"/>
      <c r="X512" s="32"/>
      <c r="Y512" s="32"/>
      <c r="Z512" s="32"/>
      <c r="AA512" s="3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23"/>
      <c r="BG512" s="1" t="s">
        <v>20</v>
      </c>
    </row>
    <row r="513" spans="1:55" x14ac:dyDescent="0.2">
      <c r="A513" s="23"/>
      <c r="B513" s="3"/>
      <c r="D513" s="3"/>
      <c r="E513" s="3"/>
      <c r="F513" s="3"/>
      <c r="G513" s="3"/>
      <c r="H513" s="31"/>
      <c r="I513" s="32"/>
      <c r="J513" s="32"/>
      <c r="K513" s="32"/>
      <c r="L513" s="32"/>
      <c r="M513" s="32"/>
      <c r="N513" s="32"/>
      <c r="O513" s="32"/>
      <c r="P513" s="32"/>
      <c r="Q513" s="8"/>
      <c r="R513" s="10"/>
      <c r="S513" s="73">
        <f>(N525*SIN((1.5*AT498*360/(2*PI()*N525))*PI()/180))*((N525*COS((1.5*AT498*360/(2*PI()*N525))*PI()/180))+AC516)/((N525*SIN((1.5*AT498*360/(2*PI()*N525))*PI()/180))+2*AM500)-(N525*COS((1.5*AT498*360/(2*PI()*N525))*PI()/180))+M511-S511</f>
        <v>20.888696687885101</v>
      </c>
      <c r="T513" s="74"/>
      <c r="U513" s="74" t="s">
        <v>0</v>
      </c>
      <c r="V513" s="32"/>
      <c r="W513" s="32"/>
      <c r="X513" s="32"/>
      <c r="Y513" s="32"/>
      <c r="Z513" s="32"/>
      <c r="AA513" s="3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23"/>
    </row>
    <row r="514" spans="1:55" x14ac:dyDescent="0.2">
      <c r="A514" s="23"/>
      <c r="B514" s="3"/>
      <c r="D514" s="71">
        <f>3*AT498*(I525+N525+AM500*5)/(N525+AM500*5)-D520-D517</f>
        <v>44.076123535036068</v>
      </c>
      <c r="E514" s="71"/>
      <c r="F514" s="3" t="s">
        <v>0</v>
      </c>
      <c r="G514" s="3"/>
      <c r="H514" s="31"/>
      <c r="I514" s="32"/>
      <c r="J514" s="32"/>
      <c r="K514" s="32"/>
      <c r="L514" s="32"/>
      <c r="M514" s="32"/>
      <c r="N514" s="32"/>
      <c r="O514" s="32"/>
      <c r="P514" s="32"/>
      <c r="Q514" s="8"/>
      <c r="R514" s="10"/>
      <c r="S514" s="73"/>
      <c r="T514" s="74"/>
      <c r="U514" s="74"/>
      <c r="V514" s="32"/>
      <c r="W514" s="32"/>
      <c r="X514" s="32"/>
      <c r="Y514" s="32"/>
      <c r="Z514" s="32"/>
      <c r="AA514" s="33"/>
      <c r="AB514" s="3"/>
      <c r="AC514" s="79" t="s">
        <v>0</v>
      </c>
      <c r="AD514" s="3"/>
      <c r="AE514" s="79" t="s">
        <v>0</v>
      </c>
      <c r="AF514" s="3"/>
      <c r="AG514" s="3"/>
      <c r="AH514" s="3"/>
      <c r="AI514" s="3"/>
      <c r="AJ514" s="3"/>
      <c r="AK514" s="3"/>
      <c r="AL514" s="3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23"/>
    </row>
    <row r="515" spans="1:55" x14ac:dyDescent="0.2">
      <c r="A515" s="23"/>
      <c r="B515" s="3"/>
      <c r="G515" s="3"/>
      <c r="H515" s="31"/>
      <c r="I515" s="32"/>
      <c r="J515" s="32">
        <v>3</v>
      </c>
      <c r="K515" s="32"/>
      <c r="L515" s="32"/>
      <c r="M515" s="32"/>
      <c r="N515" s="32"/>
      <c r="O515" s="32"/>
      <c r="P515" s="32"/>
      <c r="Q515" s="8"/>
      <c r="R515" s="10"/>
      <c r="S515" s="73">
        <f>(N525*SIN((2.5*AT498*360/(2*PI()*N525))*PI()/180))*((N525*COS((2.5*AT498*360/(2*PI()*N525))*PI()/180))+AC516)/((N525*SIN((2.5*AT498*360/(2*PI()*N525))*PI()/180))+3*AM500)-(N525*COS((2.5*AT498*360/(2*PI()*N525))*PI()/180))+M511-S511-S513</f>
        <v>8.8992988693253423</v>
      </c>
      <c r="T515" s="74"/>
      <c r="U515" s="32" t="s">
        <v>0</v>
      </c>
      <c r="V515" s="32"/>
      <c r="W515" s="32"/>
      <c r="X515" s="32"/>
      <c r="Y515" s="32">
        <v>13</v>
      </c>
      <c r="Z515" s="32"/>
      <c r="AA515" s="33"/>
      <c r="AB515" s="3"/>
      <c r="AC515" s="79"/>
      <c r="AD515" s="3"/>
      <c r="AE515" s="79"/>
      <c r="AF515" s="3"/>
      <c r="AG515" s="3"/>
      <c r="AH515" s="3"/>
      <c r="AI515" s="3"/>
      <c r="AJ515" s="3"/>
      <c r="AK515" s="3"/>
      <c r="AL515" s="3"/>
      <c r="AM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23"/>
    </row>
    <row r="516" spans="1:55" x14ac:dyDescent="0.2">
      <c r="A516" s="23"/>
      <c r="B516" s="3"/>
      <c r="C516" s="3"/>
      <c r="D516" s="3"/>
      <c r="E516" s="3"/>
      <c r="F516" s="3"/>
      <c r="G516" s="3"/>
      <c r="H516" s="31"/>
      <c r="I516" s="32"/>
      <c r="J516" s="32"/>
      <c r="K516" s="32"/>
      <c r="L516" s="32"/>
      <c r="M516" s="32"/>
      <c r="N516" s="32"/>
      <c r="O516" s="32"/>
      <c r="P516" s="32"/>
      <c r="Q516" s="8"/>
      <c r="R516" s="10"/>
      <c r="S516" s="73">
        <f>(N525*SIN((3.5*AT498*360/(2*PI()*N525))*PI()/180))*((N525*COS((3.5*AT498*360/(2*PI()*N525))*PI()/180))+AC516)/((N525*SIN((3.5*AT498*360/(2*PI()*N525))*PI()/180))+4*AM500)-(N525*COS((3.5*AT498*360/(2*PI()*N525))*PI()/180))+M511-S511-S513-S515</f>
        <v>7.9547110604533273</v>
      </c>
      <c r="T516" s="74"/>
      <c r="U516" s="32" t="s">
        <v>0</v>
      </c>
      <c r="V516" s="32"/>
      <c r="W516" s="32"/>
      <c r="X516" s="32"/>
      <c r="Y516" s="32"/>
      <c r="Z516" s="32"/>
      <c r="AA516" s="33"/>
      <c r="AB516" s="3"/>
      <c r="AC516" s="79">
        <f>(7.5*AT498)-(2*PI()*N525*90/360)</f>
        <v>111.11726630737</v>
      </c>
      <c r="AD516" s="3"/>
      <c r="AE516" s="79">
        <f>+AC516+M511</f>
        <v>123.61726630737</v>
      </c>
      <c r="AF516" s="3"/>
      <c r="AG516" s="3"/>
      <c r="AH516" s="3"/>
      <c r="AI516" s="3"/>
      <c r="AJ516" s="3"/>
      <c r="AK516" s="3"/>
      <c r="AL516" s="3"/>
      <c r="AM516" s="9"/>
      <c r="AT516" s="9"/>
      <c r="AU516" s="9"/>
      <c r="AV516" s="9"/>
      <c r="AW516" s="9"/>
      <c r="AX516" s="9"/>
      <c r="AY516" s="9"/>
      <c r="AZ516" s="9"/>
      <c r="BA516" s="9"/>
      <c r="BB516" s="9"/>
      <c r="BC516" s="23"/>
    </row>
    <row r="517" spans="1:55" x14ac:dyDescent="0.2">
      <c r="A517" s="23"/>
      <c r="B517" s="3"/>
      <c r="C517" s="3"/>
      <c r="D517" s="71">
        <f>2*AT498*(I525+N525+AM500*6)/(N525+AM500*6)-D520</f>
        <v>41.639425414605732</v>
      </c>
      <c r="E517" s="71"/>
      <c r="F517" s="3" t="s">
        <v>0</v>
      </c>
      <c r="G517" s="3"/>
      <c r="H517" s="31"/>
      <c r="I517" s="32"/>
      <c r="J517" s="32"/>
      <c r="K517" s="32"/>
      <c r="L517" s="32"/>
      <c r="M517" s="32"/>
      <c r="N517" s="32"/>
      <c r="O517" s="32"/>
      <c r="P517" s="32"/>
      <c r="Q517" s="8"/>
      <c r="R517" s="10"/>
      <c r="S517" s="73">
        <f>+AC516+M511-S511-S513-S515-S516-S518-S520-S521</f>
        <v>9.2287363257068478</v>
      </c>
      <c r="T517" s="74"/>
      <c r="U517" s="32" t="s">
        <v>0</v>
      </c>
      <c r="V517" s="32"/>
      <c r="W517" s="32"/>
      <c r="X517" s="32"/>
      <c r="Y517" s="32"/>
      <c r="Z517" s="32"/>
      <c r="AA517" s="33"/>
      <c r="AB517" s="3"/>
      <c r="AC517" s="79"/>
      <c r="AD517" s="3"/>
      <c r="AE517" s="79"/>
      <c r="AF517" s="3"/>
      <c r="AG517" s="3"/>
      <c r="AH517" s="3"/>
      <c r="AI517" s="3"/>
      <c r="AJ517" s="3"/>
      <c r="AK517" s="3"/>
      <c r="AL517" s="3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23"/>
    </row>
    <row r="518" spans="1:55" x14ac:dyDescent="0.2">
      <c r="A518" s="23"/>
      <c r="B518" s="3"/>
      <c r="C518" s="3"/>
      <c r="G518" s="3"/>
      <c r="H518" s="31"/>
      <c r="I518" s="32"/>
      <c r="J518" s="32">
        <v>2</v>
      </c>
      <c r="K518" s="32"/>
      <c r="L518" s="32"/>
      <c r="M518" s="32"/>
      <c r="N518" s="32"/>
      <c r="O518" s="32"/>
      <c r="P518" s="32"/>
      <c r="Q518" s="8"/>
      <c r="R518" s="10"/>
      <c r="S518" s="73">
        <f>3*AT498-((+D520+D517+D514)-3*AT498)*N525/I525-S521-S520</f>
        <v>12.991350728498098</v>
      </c>
      <c r="T518" s="74"/>
      <c r="U518" s="74" t="s">
        <v>0</v>
      </c>
      <c r="V518" s="32"/>
      <c r="W518" s="32"/>
      <c r="X518" s="32"/>
      <c r="Y518" s="32">
        <v>14</v>
      </c>
      <c r="Z518" s="32"/>
      <c r="AA518" s="33"/>
      <c r="AB518" s="3"/>
      <c r="AC518" s="79"/>
      <c r="AD518" s="3"/>
      <c r="AE518" s="79"/>
      <c r="AF518" s="3"/>
      <c r="AG518" s="3"/>
      <c r="AH518" s="3"/>
      <c r="AI518" s="3"/>
      <c r="AJ518" s="3"/>
      <c r="AK518" s="3"/>
      <c r="AL518" s="3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23"/>
    </row>
    <row r="519" spans="1:55" x14ac:dyDescent="0.2">
      <c r="A519" s="23"/>
      <c r="B519" s="3"/>
      <c r="C519" s="3"/>
      <c r="D519" s="3"/>
      <c r="E519" s="3"/>
      <c r="F519" s="3"/>
      <c r="G519" s="3"/>
      <c r="H519" s="31"/>
      <c r="I519" s="32"/>
      <c r="J519" s="32"/>
      <c r="K519" s="32"/>
      <c r="L519" s="32"/>
      <c r="M519" s="32"/>
      <c r="N519" s="32"/>
      <c r="O519" s="32"/>
      <c r="P519" s="32"/>
      <c r="Q519" s="8"/>
      <c r="R519" s="10"/>
      <c r="S519" s="73"/>
      <c r="T519" s="74"/>
      <c r="U519" s="74"/>
      <c r="V519" s="32"/>
      <c r="W519" s="32"/>
      <c r="X519" s="32"/>
      <c r="Y519" s="32"/>
      <c r="Z519" s="32"/>
      <c r="AA519" s="33"/>
      <c r="AB519" s="3"/>
      <c r="AD519" s="3"/>
      <c r="AE519" s="3"/>
      <c r="AF519" s="3"/>
      <c r="AG519" s="3"/>
      <c r="AH519" s="3"/>
      <c r="AI519" s="3"/>
      <c r="AJ519" s="3"/>
      <c r="AK519" s="3"/>
      <c r="AL519" s="3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23"/>
    </row>
    <row r="520" spans="1:55" x14ac:dyDescent="0.2">
      <c r="A520" s="23"/>
      <c r="B520" s="3"/>
      <c r="C520" s="3"/>
      <c r="D520" s="71">
        <f>1*AT498*(I525+N525+AM500*7)/(N525+AM500*7)</f>
        <v>39.785045287796727</v>
      </c>
      <c r="E520" s="71"/>
      <c r="F520" s="3" t="s">
        <v>0</v>
      </c>
      <c r="G520" s="3"/>
      <c r="H520" s="31"/>
      <c r="I520" s="32"/>
      <c r="J520" s="32">
        <v>1</v>
      </c>
      <c r="K520" s="32"/>
      <c r="L520" s="32"/>
      <c r="M520" s="32"/>
      <c r="N520" s="32"/>
      <c r="O520" s="32"/>
      <c r="P520" s="32"/>
      <c r="Q520" s="8"/>
      <c r="R520" s="10"/>
      <c r="S520" s="73">
        <f>2*AT498-((+D520+D517)-2*AT498)*N525/I525-S521</f>
        <v>15.935694290684744</v>
      </c>
      <c r="T520" s="74"/>
      <c r="U520" s="32" t="s">
        <v>0</v>
      </c>
      <c r="V520" s="32"/>
      <c r="W520" s="32"/>
      <c r="X520" s="32"/>
      <c r="Y520" s="32">
        <v>15</v>
      </c>
      <c r="Z520" s="32"/>
      <c r="AA520" s="3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5"/>
    </row>
    <row r="521" spans="1:55" x14ac:dyDescent="0.2">
      <c r="A521" s="23"/>
      <c r="B521" s="3"/>
      <c r="C521" s="3"/>
      <c r="G521" s="3"/>
      <c r="H521" s="35"/>
      <c r="I521" s="36"/>
      <c r="J521" s="36"/>
      <c r="K521" s="36"/>
      <c r="L521" s="36"/>
      <c r="M521" s="36"/>
      <c r="N521" s="36"/>
      <c r="O521" s="36"/>
      <c r="P521" s="36"/>
      <c r="Q521" s="11"/>
      <c r="R521" s="12"/>
      <c r="S521" s="75">
        <f>1*AT498-((+D520)-1*AT498)*N525/I525</f>
        <v>18.176403610578951</v>
      </c>
      <c r="T521" s="76"/>
      <c r="U521" s="40" t="s">
        <v>0</v>
      </c>
      <c r="V521" s="36"/>
      <c r="W521" s="36"/>
      <c r="X521" s="36"/>
      <c r="Y521" s="36"/>
      <c r="Z521" s="36"/>
      <c r="AA521" s="37"/>
      <c r="AB521" s="3"/>
      <c r="AC521" s="3"/>
      <c r="AD521" s="3"/>
      <c r="AE521" s="3"/>
      <c r="AF521" s="3"/>
      <c r="AG521" s="3"/>
      <c r="AH521" s="3"/>
      <c r="AI521" s="3"/>
      <c r="AU521" s="3"/>
      <c r="AV521" s="3"/>
      <c r="AW521" s="3"/>
      <c r="AX521" s="3"/>
      <c r="AY521" s="3"/>
      <c r="AZ521" s="3"/>
      <c r="BA521" s="3"/>
      <c r="BB521" s="3"/>
      <c r="BC521" s="5"/>
    </row>
    <row r="522" spans="1:55" x14ac:dyDescent="0.2">
      <c r="A522" s="2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X522" s="3"/>
      <c r="AY522" s="3"/>
      <c r="AZ522" s="3"/>
      <c r="BA522" s="3"/>
      <c r="BB522" s="3"/>
      <c r="BC522" s="5"/>
    </row>
    <row r="523" spans="1:55" x14ac:dyDescent="0.2">
      <c r="A523" s="23"/>
      <c r="B523" s="3"/>
      <c r="C523" s="3"/>
      <c r="D523" s="3"/>
      <c r="E523" s="3"/>
      <c r="F523" s="3"/>
      <c r="G523" s="3"/>
      <c r="H523" s="3"/>
      <c r="I523" s="3"/>
      <c r="J523" s="3"/>
      <c r="K523" s="78">
        <v>120</v>
      </c>
      <c r="L523" s="78"/>
      <c r="M523" s="3" t="s">
        <v>0</v>
      </c>
      <c r="N523" s="3"/>
      <c r="O523" s="3"/>
      <c r="P523" s="3"/>
      <c r="Q523" s="78">
        <v>25</v>
      </c>
      <c r="R523" s="78"/>
      <c r="S523" s="3" t="s">
        <v>0</v>
      </c>
      <c r="T523" s="3"/>
      <c r="U523" s="3"/>
      <c r="V523" s="71">
        <f>+K523</f>
        <v>120</v>
      </c>
      <c r="W523" s="71"/>
      <c r="X523" s="3" t="s">
        <v>0</v>
      </c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X523" s="3"/>
      <c r="AY523" s="3"/>
      <c r="AZ523" s="3"/>
      <c r="BA523" s="3"/>
      <c r="BB523" s="3"/>
      <c r="BC523" s="5"/>
    </row>
    <row r="524" spans="1:55" x14ac:dyDescent="0.2">
      <c r="A524" s="2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K524" s="1" t="s">
        <v>9</v>
      </c>
      <c r="AM524" s="77">
        <f>+AT498</f>
        <v>30</v>
      </c>
      <c r="AN524" s="77"/>
      <c r="AO524" s="1" t="s">
        <v>0</v>
      </c>
      <c r="AX524" s="3"/>
      <c r="AY524" s="3"/>
      <c r="AZ524" s="3"/>
      <c r="BA524" s="3"/>
      <c r="BB524" s="3"/>
      <c r="BC524" s="5"/>
    </row>
    <row r="525" spans="1:55" x14ac:dyDescent="0.2">
      <c r="A525" s="23"/>
      <c r="B525" s="3"/>
      <c r="C525" s="3"/>
      <c r="D525" s="3"/>
      <c r="E525" s="3"/>
      <c r="F525" s="3"/>
      <c r="G525" s="3"/>
      <c r="H525" s="3"/>
      <c r="I525" s="71">
        <f>+K523/2</f>
        <v>60</v>
      </c>
      <c r="J525" s="71"/>
      <c r="K525" s="3" t="s">
        <v>0</v>
      </c>
      <c r="L525" s="3"/>
      <c r="M525" s="3"/>
      <c r="N525" s="71">
        <f>+K523/2+Q523/2</f>
        <v>72.5</v>
      </c>
      <c r="O525" s="71"/>
      <c r="P525" s="3" t="s">
        <v>0</v>
      </c>
      <c r="Q525" s="3"/>
      <c r="R525" s="3"/>
      <c r="S525" s="3"/>
      <c r="T525" s="71">
        <f>+V523/2+Q523/2</f>
        <v>72.5</v>
      </c>
      <c r="U525" s="71"/>
      <c r="V525" s="3" t="s">
        <v>0</v>
      </c>
      <c r="W525" s="3"/>
      <c r="X525" s="3"/>
      <c r="Y525" s="71">
        <f>+V523/2</f>
        <v>60</v>
      </c>
      <c r="Z525" s="71"/>
      <c r="AA525" s="3" t="s">
        <v>0</v>
      </c>
      <c r="AB525" s="3"/>
      <c r="AC525" s="3"/>
      <c r="AD525" s="3"/>
      <c r="AE525" s="3"/>
      <c r="AF525" s="3"/>
      <c r="AG525" s="3"/>
      <c r="AH525" s="3"/>
      <c r="AX525" s="3"/>
      <c r="AY525" s="3"/>
      <c r="AZ525" s="3"/>
      <c r="BA525" s="3"/>
      <c r="BB525" s="3"/>
      <c r="BC525" s="5"/>
    </row>
    <row r="526" spans="1:55" x14ac:dyDescent="0.2">
      <c r="A526" s="2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X526" s="3"/>
      <c r="AY526" s="3"/>
      <c r="AZ526" s="3"/>
      <c r="BA526" s="3"/>
      <c r="BB526" s="3"/>
      <c r="BC526" s="5"/>
    </row>
    <row r="527" spans="1:55" x14ac:dyDescent="0.2">
      <c r="A527" s="23"/>
      <c r="B527" s="3"/>
      <c r="C527" s="3"/>
      <c r="D527" s="3"/>
      <c r="E527" s="3"/>
      <c r="F527" s="3"/>
      <c r="G527" s="3"/>
      <c r="H527" s="3"/>
      <c r="I527" s="3"/>
      <c r="J527" s="3"/>
      <c r="K527" s="72">
        <f>+K523+Q523/2</f>
        <v>132.5</v>
      </c>
      <c r="L527" s="72"/>
      <c r="M527" s="72"/>
      <c r="N527" s="3" t="s">
        <v>0</v>
      </c>
      <c r="O527" s="3"/>
      <c r="P527" s="3"/>
      <c r="Q527" s="3"/>
      <c r="R527" s="3"/>
      <c r="S527" s="3"/>
      <c r="T527" s="3"/>
      <c r="U527" s="71">
        <f>+K527</f>
        <v>132.5</v>
      </c>
      <c r="V527" s="71"/>
      <c r="W527" s="71"/>
      <c r="X527" s="3" t="s">
        <v>0</v>
      </c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X527" s="3"/>
      <c r="AY527" s="3"/>
      <c r="AZ527" s="3"/>
      <c r="BA527" s="3"/>
      <c r="BB527" s="3"/>
      <c r="BC527" s="5"/>
    </row>
    <row r="528" spans="1:55" x14ac:dyDescent="0.2">
      <c r="A528" s="2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K528" s="3" t="s">
        <v>21</v>
      </c>
      <c r="AQ528" s="26"/>
      <c r="AR528" s="26"/>
      <c r="AS528" s="25"/>
      <c r="AX528" s="3"/>
      <c r="AY528" s="3"/>
      <c r="AZ528" s="3"/>
      <c r="BA528" s="3"/>
      <c r="BB528" s="3"/>
      <c r="BC528" s="5"/>
    </row>
    <row r="529" spans="1:99" x14ac:dyDescent="0.2">
      <c r="A529" s="2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71">
        <f>+K523+Q523+V523</f>
        <v>265</v>
      </c>
      <c r="R529" s="71"/>
      <c r="S529" s="3" t="s">
        <v>0</v>
      </c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X529" s="3"/>
      <c r="AY529" s="3"/>
      <c r="AZ529" s="3"/>
      <c r="BA529" s="3"/>
      <c r="BB529" s="3"/>
      <c r="BC529" s="5"/>
    </row>
    <row r="530" spans="1:99" ht="12" thickBot="1" x14ac:dyDescent="0.25">
      <c r="A530" s="23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5"/>
    </row>
    <row r="531" spans="1:99" ht="12" thickBot="1" x14ac:dyDescent="0.25"/>
    <row r="532" spans="1:99" ht="48.75" customHeight="1" x14ac:dyDescent="0.2">
      <c r="A532" s="18"/>
      <c r="B532" s="89" t="s">
        <v>26</v>
      </c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  <c r="AA532" s="85"/>
      <c r="AB532" s="85"/>
      <c r="AC532" s="85"/>
      <c r="AD532" s="85"/>
      <c r="AE532" s="85"/>
      <c r="AF532" s="85"/>
      <c r="AG532" s="85"/>
      <c r="AH532" s="85"/>
      <c r="AI532" s="85"/>
      <c r="AJ532" s="85"/>
      <c r="AK532" s="85"/>
      <c r="AL532" s="85"/>
      <c r="AM532" s="85"/>
      <c r="AN532" s="85"/>
      <c r="AO532" s="85"/>
      <c r="AP532" s="85"/>
      <c r="AQ532" s="85"/>
      <c r="AR532" s="85"/>
      <c r="AS532" s="85"/>
      <c r="AT532" s="85"/>
      <c r="AU532" s="85"/>
      <c r="AV532" s="85"/>
      <c r="AW532" s="85"/>
      <c r="AX532" s="85"/>
      <c r="AY532" s="85"/>
      <c r="AZ532" s="85"/>
      <c r="BA532" s="85"/>
      <c r="BB532" s="85"/>
      <c r="BC532" s="86"/>
      <c r="BD532" s="17"/>
      <c r="BE532" s="17"/>
      <c r="BF532" s="17"/>
      <c r="BG532" s="17"/>
      <c r="BH532" s="17"/>
      <c r="BI532" s="17"/>
      <c r="BJ532" s="17"/>
      <c r="BK532" s="17"/>
      <c r="BL532" s="17"/>
      <c r="BM532" s="17"/>
      <c r="BN532" s="17"/>
      <c r="BO532" s="17"/>
      <c r="BP532" s="17"/>
      <c r="BQ532" s="17"/>
      <c r="BR532" s="17"/>
      <c r="BS532" s="17"/>
      <c r="BT532" s="17"/>
      <c r="BU532" s="17"/>
      <c r="BV532" s="17"/>
      <c r="BW532" s="17"/>
      <c r="BX532" s="17"/>
      <c r="BY532" s="17"/>
      <c r="BZ532" s="17"/>
      <c r="CA532" s="17"/>
      <c r="CB532" s="17"/>
      <c r="CC532" s="17"/>
      <c r="CD532" s="17"/>
      <c r="CE532" s="17"/>
      <c r="CF532" s="17"/>
      <c r="CG532" s="17"/>
      <c r="CH532" s="17"/>
      <c r="CI532" s="17"/>
    </row>
    <row r="533" spans="1:99" x14ac:dyDescent="0.2">
      <c r="A533" s="5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16" t="s">
        <v>5</v>
      </c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18"/>
      <c r="BD533" s="17"/>
      <c r="BE533" s="17"/>
      <c r="BF533" s="17"/>
      <c r="BG533" s="17"/>
      <c r="BH533" s="17"/>
      <c r="BI533" s="17"/>
      <c r="BJ533" s="17"/>
      <c r="BK533" s="17"/>
      <c r="BL533" s="17"/>
      <c r="BM533" s="17"/>
      <c r="BN533" s="17"/>
      <c r="BO533" s="17"/>
      <c r="BP533" s="17"/>
      <c r="BQ533" s="17"/>
      <c r="BR533" s="17"/>
      <c r="BS533" s="17"/>
      <c r="BT533" s="17"/>
      <c r="BU533" s="17"/>
      <c r="BV533" s="17"/>
      <c r="BW533" s="17"/>
      <c r="BX533" s="17"/>
      <c r="BY533" s="17"/>
      <c r="BZ533" s="17"/>
      <c r="CA533" s="17"/>
      <c r="CB533" s="17"/>
      <c r="CC533" s="17"/>
      <c r="CD533" s="17"/>
      <c r="CE533" s="17"/>
      <c r="CF533" s="17"/>
      <c r="CG533" s="17"/>
      <c r="CH533" s="17"/>
      <c r="CI533" s="17"/>
    </row>
    <row r="534" spans="1:99" x14ac:dyDescent="0.2">
      <c r="A534" s="5"/>
      <c r="B534" s="2"/>
      <c r="C534" s="3"/>
      <c r="D534" s="3"/>
      <c r="E534" s="3"/>
      <c r="F534" s="3"/>
      <c r="G534" s="3"/>
      <c r="H534" s="3"/>
      <c r="I534" s="3"/>
      <c r="J534" s="3"/>
      <c r="K534" s="71">
        <f>+K564</f>
        <v>132.5</v>
      </c>
      <c r="L534" s="71"/>
      <c r="M534" s="71"/>
      <c r="N534" s="3" t="s">
        <v>0</v>
      </c>
      <c r="O534" s="3"/>
      <c r="P534" s="3"/>
      <c r="Q534" s="3"/>
      <c r="R534" s="3"/>
      <c r="S534" s="3"/>
      <c r="T534" s="3"/>
      <c r="U534" s="71">
        <f>+K534</f>
        <v>132.5</v>
      </c>
      <c r="V534" s="71"/>
      <c r="W534" s="71"/>
      <c r="X534" s="3" t="s">
        <v>0</v>
      </c>
      <c r="Y534" s="3"/>
      <c r="Z534" s="16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5"/>
    </row>
    <row r="535" spans="1:99" x14ac:dyDescent="0.2">
      <c r="A535" s="5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E535" s="3"/>
      <c r="AF535" s="3"/>
      <c r="AG535" s="3"/>
      <c r="AH535" s="3" t="s">
        <v>1</v>
      </c>
      <c r="AI535" s="3"/>
      <c r="AJ535" s="3"/>
      <c r="AK535" s="3"/>
      <c r="AL535" s="3"/>
      <c r="AM535" s="3"/>
      <c r="AN535" s="3"/>
      <c r="AO535" s="78">
        <v>30</v>
      </c>
      <c r="AP535" s="78"/>
      <c r="AQ535" s="3" t="s">
        <v>0</v>
      </c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5"/>
      <c r="CE535" s="3"/>
    </row>
    <row r="536" spans="1:99" x14ac:dyDescent="0.2">
      <c r="A536" s="5"/>
      <c r="B536" s="2"/>
      <c r="C536" s="3"/>
      <c r="D536" s="3"/>
      <c r="E536" s="3"/>
      <c r="F536" s="3"/>
      <c r="G536" s="3"/>
      <c r="H536" s="71">
        <f>+K534-K536-O536</f>
        <v>15.551677625813326</v>
      </c>
      <c r="I536" s="71"/>
      <c r="J536" s="3" t="s">
        <v>0</v>
      </c>
      <c r="K536" s="71">
        <f>(N562*SIN((2*AO535*360/(2*PI()*N562))*PI()/180))*((AC544-(N562*COS((2*AO535*360/(2*PI()*N562))*PI()/180)))+((N562*COS((2*AO535*360/(2*PI()*N562))*PI()/180))-M549+S549+S551))/((N562*COS((2*AO535*360/(2*PI()*N562))*PI()/180))-M549+S549+S551)-O536</f>
        <v>64.296290589980643</v>
      </c>
      <c r="L536" s="71"/>
      <c r="M536" s="3" t="s">
        <v>0</v>
      </c>
      <c r="N536" s="3"/>
      <c r="O536" s="72">
        <f>((N562*SIN((AO535*360/(2*PI()*N562))*PI()/180))-Q546)/((N562*COS((AO535*360/(2*PI()*N562))*PI()/180))-M549)*(I562+N562-(N562*COS((AO535*360/(2*PI()*N562))*PI()/180)))+(N562*SIN((AO535*360/(2*PI()*N562))*PI()/180))</f>
        <v>52.652031784206031</v>
      </c>
      <c r="P536" s="72"/>
      <c r="Q536" s="3" t="s">
        <v>0</v>
      </c>
      <c r="R536" s="3"/>
      <c r="S536" s="71">
        <f>+O536</f>
        <v>52.652031784206031</v>
      </c>
      <c r="T536" s="71"/>
      <c r="U536" s="3" t="s">
        <v>0</v>
      </c>
      <c r="V536" s="71">
        <f>+K536</f>
        <v>64.296290589980643</v>
      </c>
      <c r="W536" s="71"/>
      <c r="X536" s="3" t="s">
        <v>0</v>
      </c>
      <c r="Z536" s="71">
        <f>+H536</f>
        <v>15.551677625813326</v>
      </c>
      <c r="AA536" s="71"/>
      <c r="AB536" s="3" t="s">
        <v>0</v>
      </c>
      <c r="AC536" s="3"/>
      <c r="AD536" s="3"/>
      <c r="AE536" s="3"/>
      <c r="AF536" s="3"/>
      <c r="AG536" s="3"/>
      <c r="AH536" s="3" t="s">
        <v>3</v>
      </c>
      <c r="AI536" s="3"/>
      <c r="AJ536" s="3"/>
      <c r="AK536" s="3"/>
      <c r="AL536" s="3"/>
      <c r="AM536" s="3"/>
      <c r="AN536" s="9">
        <v>14</v>
      </c>
      <c r="AO536" s="3" t="s">
        <v>4</v>
      </c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5"/>
      <c r="BG536" s="27" t="s">
        <v>22</v>
      </c>
      <c r="CR536" s="3"/>
      <c r="CS536" s="3"/>
      <c r="CT536" s="3"/>
      <c r="CU536" s="3"/>
    </row>
    <row r="537" spans="1:99" x14ac:dyDescent="0.2">
      <c r="A537" s="5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82">
        <f>O536*(AC553+M549-S549)/(AC544-M549+S549)</f>
        <v>28.606225790462638</v>
      </c>
      <c r="AI537" s="82"/>
      <c r="AJ537" s="82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5"/>
      <c r="BG537" s="3" t="s">
        <v>18</v>
      </c>
      <c r="BH537" s="3"/>
      <c r="BI537" s="3"/>
      <c r="BJ537" s="3"/>
      <c r="BK537" s="3"/>
      <c r="BL537" s="78">
        <v>2.2999999999999998</v>
      </c>
      <c r="BM537" s="78"/>
      <c r="BN537" s="3" t="s">
        <v>10</v>
      </c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CR537" s="3"/>
      <c r="CS537" s="3"/>
      <c r="CT537" s="3"/>
      <c r="CU537" s="3"/>
    </row>
    <row r="538" spans="1:99" x14ac:dyDescent="0.2">
      <c r="A538" s="5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5"/>
      <c r="BG538" s="21" t="s">
        <v>6</v>
      </c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CR538" s="3"/>
      <c r="CS538" s="3"/>
      <c r="CT538" s="3"/>
      <c r="CU538" s="3"/>
    </row>
    <row r="539" spans="1:99" x14ac:dyDescent="0.2">
      <c r="A539" s="5"/>
      <c r="B539" s="2"/>
      <c r="C539" s="3"/>
      <c r="D539" s="3"/>
      <c r="E539" s="3"/>
      <c r="F539" s="3"/>
      <c r="G539" s="3"/>
      <c r="H539" s="28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30"/>
      <c r="AB539" s="3"/>
      <c r="AC539" s="3"/>
      <c r="AD539" s="3"/>
      <c r="AE539" s="3"/>
      <c r="AF539" s="3"/>
      <c r="AG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5"/>
      <c r="BG539" s="3" t="s">
        <v>7</v>
      </c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CR539" s="3"/>
      <c r="CS539" s="3"/>
      <c r="CT539" s="3"/>
      <c r="CU539" s="3"/>
    </row>
    <row r="540" spans="1:99" x14ac:dyDescent="0.2">
      <c r="A540" s="5"/>
      <c r="B540" s="2"/>
      <c r="C540" s="3"/>
      <c r="D540" s="71">
        <f>+C548-D544-D549-D553-D556</f>
        <v>59.569359556842095</v>
      </c>
      <c r="E540" s="71"/>
      <c r="F540" s="3" t="s">
        <v>0</v>
      </c>
      <c r="G540" s="3"/>
      <c r="H540" s="31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3"/>
      <c r="AB540" s="3"/>
      <c r="AC540" s="3"/>
      <c r="AD540" s="3"/>
      <c r="AE540" s="3"/>
      <c r="AF540" s="3"/>
      <c r="AG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5"/>
      <c r="BG540" s="3" t="s">
        <v>8</v>
      </c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CR540" s="3"/>
      <c r="CS540" s="3"/>
      <c r="CT540" s="3"/>
      <c r="CU540" s="3"/>
    </row>
    <row r="541" spans="1:99" x14ac:dyDescent="0.2">
      <c r="A541" s="5"/>
      <c r="B541" s="2"/>
      <c r="C541" s="3"/>
      <c r="D541" s="3"/>
      <c r="E541" s="3"/>
      <c r="F541" s="3"/>
      <c r="G541" s="3"/>
      <c r="H541" s="31"/>
      <c r="I541" s="32"/>
      <c r="J541" s="32"/>
      <c r="K541" s="32"/>
      <c r="L541" s="32"/>
      <c r="M541" s="32"/>
      <c r="N541" s="32"/>
      <c r="O541" s="32"/>
      <c r="P541" s="32">
        <v>7</v>
      </c>
      <c r="Q541" s="32"/>
      <c r="R541" s="32"/>
      <c r="S541" s="32">
        <v>8</v>
      </c>
      <c r="T541" s="32"/>
      <c r="U541" s="32"/>
      <c r="V541" s="32">
        <v>9</v>
      </c>
      <c r="W541" s="32"/>
      <c r="X541" s="32"/>
      <c r="Y541" s="32"/>
      <c r="Z541" s="32"/>
      <c r="AA541" s="33"/>
      <c r="AB541" s="3"/>
      <c r="AC541" s="3"/>
      <c r="AD541" s="3"/>
      <c r="AE541" s="3"/>
      <c r="AF541" s="3"/>
      <c r="AG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5"/>
      <c r="BG541" s="3" t="s">
        <v>9</v>
      </c>
      <c r="BH541" s="3"/>
      <c r="BI541" s="71">
        <f>0.63-2*BI542</f>
        <v>0.30142857142857143</v>
      </c>
      <c r="BJ541" s="71"/>
      <c r="BK541" s="71"/>
      <c r="BL541" s="3" t="s">
        <v>10</v>
      </c>
      <c r="BM541" s="3" t="s">
        <v>11</v>
      </c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</row>
    <row r="542" spans="1:99" x14ac:dyDescent="0.2">
      <c r="A542" s="5"/>
      <c r="B542" s="2"/>
      <c r="C542" s="3"/>
      <c r="D542" s="3"/>
      <c r="E542" s="3"/>
      <c r="F542" s="3"/>
      <c r="G542" s="3"/>
      <c r="H542" s="31"/>
      <c r="I542" s="32"/>
      <c r="J542" s="32"/>
      <c r="K542" s="32"/>
      <c r="L542" s="32"/>
      <c r="M542" s="32">
        <v>6</v>
      </c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3"/>
      <c r="AB542" s="3"/>
      <c r="AC542" s="79" t="s">
        <v>0</v>
      </c>
      <c r="AD542" s="3"/>
      <c r="AE542" s="79" t="s">
        <v>0</v>
      </c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5"/>
      <c r="BG542" s="3" t="s">
        <v>12</v>
      </c>
      <c r="BH542" s="3"/>
      <c r="BI542" s="71">
        <f>BL537/BL543</f>
        <v>0.16428571428571428</v>
      </c>
      <c r="BJ542" s="71"/>
      <c r="BK542" s="71"/>
      <c r="BL542" s="3" t="s">
        <v>10</v>
      </c>
      <c r="BM542" s="3" t="s">
        <v>13</v>
      </c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CE542" s="3"/>
      <c r="CR542" s="3"/>
      <c r="CS542" s="3"/>
      <c r="CT542" s="3"/>
      <c r="CU542" s="3"/>
    </row>
    <row r="543" spans="1:99" x14ac:dyDescent="0.2">
      <c r="A543" s="5"/>
      <c r="B543" s="2"/>
      <c r="C543" s="3"/>
      <c r="D543" s="3"/>
      <c r="E543" s="3"/>
      <c r="F543" s="3"/>
      <c r="G543" s="3"/>
      <c r="H543" s="31"/>
      <c r="I543" s="32"/>
      <c r="J543" s="32"/>
      <c r="K543" s="32">
        <v>5</v>
      </c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>
        <v>10</v>
      </c>
      <c r="Y543" s="32"/>
      <c r="Z543" s="32"/>
      <c r="AA543" s="33"/>
      <c r="AB543" s="3"/>
      <c r="AC543" s="79"/>
      <c r="AD543" s="3"/>
      <c r="AE543" s="79"/>
      <c r="AF543" s="3"/>
      <c r="AG543" s="3"/>
      <c r="AH543" s="3"/>
      <c r="AI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5"/>
      <c r="BG543" s="3" t="s">
        <v>14</v>
      </c>
      <c r="BH543" s="3"/>
      <c r="BI543" s="3"/>
      <c r="BJ543" s="3"/>
      <c r="BK543" s="3"/>
      <c r="BL543" s="72">
        <v>14</v>
      </c>
      <c r="BM543" s="72"/>
      <c r="BN543" s="3" t="s">
        <v>4</v>
      </c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CE543" s="3"/>
      <c r="CR543" s="3"/>
      <c r="CS543" s="3"/>
      <c r="CT543" s="3"/>
      <c r="CU543" s="3"/>
    </row>
    <row r="544" spans="1:99" x14ac:dyDescent="0.2">
      <c r="A544" s="5"/>
      <c r="B544" s="2"/>
      <c r="C544" s="3"/>
      <c r="D544" s="71">
        <f>((S554+S555+S556+S558)*(K564+3*AH537)/(3*AH537))-((S555+S556+S558)*(K564+4*AH537)/(4*AH537))</f>
        <v>50.159300103374235</v>
      </c>
      <c r="E544" s="71"/>
      <c r="F544" s="3" t="s">
        <v>0</v>
      </c>
      <c r="G544" s="3"/>
      <c r="H544" s="31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3"/>
      <c r="AB544" s="3"/>
      <c r="AC544" s="79">
        <f>+K560+Q560/2</f>
        <v>132.5</v>
      </c>
      <c r="AD544" s="3"/>
      <c r="AE544" s="79">
        <f>+C548-AE553</f>
        <v>120.00000000000001</v>
      </c>
      <c r="AF544" s="3"/>
      <c r="AG544" s="3"/>
      <c r="AH544" s="3"/>
      <c r="AI544" s="3"/>
      <c r="AK544" s="3"/>
      <c r="AL544" s="3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23"/>
      <c r="BG544" s="3">
        <v>2</v>
      </c>
      <c r="BH544" s="41" t="s">
        <v>15</v>
      </c>
      <c r="BI544" s="71">
        <f>+BI542</f>
        <v>0.16428571428571428</v>
      </c>
      <c r="BJ544" s="71"/>
      <c r="BK544" s="71"/>
      <c r="BL544" s="41" t="s">
        <v>16</v>
      </c>
      <c r="BM544" s="71">
        <f>+BI541</f>
        <v>0.30142857142857143</v>
      </c>
      <c r="BN544" s="71"/>
      <c r="BO544" s="71"/>
      <c r="BP544" s="41" t="s">
        <v>17</v>
      </c>
      <c r="BQ544" s="71">
        <f>+BG544*BI544+BM544</f>
        <v>0.63</v>
      </c>
      <c r="BR544" s="71"/>
      <c r="BS544" s="71"/>
      <c r="BT544" s="3" t="s">
        <v>10</v>
      </c>
      <c r="BU544" s="3"/>
      <c r="BV544" s="16" t="str">
        <f>IF(BQ544=0.63,"uygun.","uygun değil.")</f>
        <v>uygun.</v>
      </c>
      <c r="BW544" s="3"/>
      <c r="BX544" s="3"/>
      <c r="BY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</row>
    <row r="545" spans="1:59" x14ac:dyDescent="0.2">
      <c r="A545" s="5"/>
      <c r="B545" s="2"/>
      <c r="C545" s="3"/>
      <c r="D545" s="3"/>
      <c r="E545" s="3"/>
      <c r="F545" s="3"/>
      <c r="G545" s="3"/>
      <c r="H545" s="31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3"/>
      <c r="AB545" s="3"/>
      <c r="AC545" s="79"/>
      <c r="AD545" s="3"/>
      <c r="AE545" s="79"/>
      <c r="AF545" s="3"/>
      <c r="AG545" s="3"/>
      <c r="AH545" s="3"/>
      <c r="AI545" s="3"/>
      <c r="AK545" s="3"/>
      <c r="AL545" s="3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23"/>
    </row>
    <row r="546" spans="1:59" x14ac:dyDescent="0.2">
      <c r="A546" s="5"/>
      <c r="B546" s="2"/>
      <c r="C546" s="79" t="s">
        <v>0</v>
      </c>
      <c r="D546" s="3"/>
      <c r="E546" s="3"/>
      <c r="F546" s="3"/>
      <c r="G546" s="3"/>
      <c r="H546" s="31"/>
      <c r="I546" s="32"/>
      <c r="J546" s="32"/>
      <c r="K546" s="32"/>
      <c r="L546" s="32"/>
      <c r="M546" s="32"/>
      <c r="N546" s="32"/>
      <c r="O546" s="32"/>
      <c r="P546" s="32"/>
      <c r="Q546" s="20">
        <v>10</v>
      </c>
      <c r="R546" s="32" t="s">
        <v>0</v>
      </c>
      <c r="S546" s="32"/>
      <c r="T546" s="32"/>
      <c r="U546" s="32"/>
      <c r="V546" s="32"/>
      <c r="W546" s="32"/>
      <c r="X546" s="32"/>
      <c r="Y546" s="32"/>
      <c r="Z546" s="32"/>
      <c r="AA546" s="33"/>
      <c r="AB546" s="3"/>
      <c r="AC546" s="79"/>
      <c r="AD546" s="3"/>
      <c r="AE546" s="79"/>
      <c r="AF546" s="3"/>
      <c r="AG546" s="3"/>
      <c r="AH546" s="3"/>
      <c r="AI546" s="3"/>
      <c r="AK546" s="3"/>
      <c r="AL546" s="3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23"/>
    </row>
    <row r="547" spans="1:59" x14ac:dyDescent="0.2">
      <c r="A547" s="5"/>
      <c r="B547" s="2"/>
      <c r="C547" s="79"/>
      <c r="D547" s="3"/>
      <c r="E547" s="3"/>
      <c r="F547" s="3"/>
      <c r="G547" s="3"/>
      <c r="H547" s="31"/>
      <c r="I547" s="32"/>
      <c r="J547" s="32">
        <v>4</v>
      </c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>
        <v>11</v>
      </c>
      <c r="Z547" s="32"/>
      <c r="AA547" s="33"/>
      <c r="AB547" s="3"/>
      <c r="AC547" s="3"/>
      <c r="AD547" s="3"/>
      <c r="AE547" s="3"/>
      <c r="AF547" s="3"/>
      <c r="AG547" s="3"/>
      <c r="AH547" s="3"/>
      <c r="AI547" s="3"/>
      <c r="AK547" s="3"/>
      <c r="AL547" s="3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23"/>
      <c r="BG547" s="1" t="s">
        <v>19</v>
      </c>
    </row>
    <row r="548" spans="1:59" x14ac:dyDescent="0.2">
      <c r="A548" s="5"/>
      <c r="B548" s="2"/>
      <c r="C548" s="79">
        <f>+AC544+AC553</f>
        <v>228.61726630737002</v>
      </c>
      <c r="D548" s="3"/>
      <c r="E548" s="3"/>
      <c r="F548" s="3"/>
      <c r="G548" s="3"/>
      <c r="H548" s="31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23"/>
      <c r="BG548" s="4" t="s">
        <v>2</v>
      </c>
    </row>
    <row r="549" spans="1:59" x14ac:dyDescent="0.2">
      <c r="A549" s="5"/>
      <c r="B549" s="2"/>
      <c r="C549" s="79"/>
      <c r="D549" s="71">
        <f>3*AO535*(I562+N562+AH537*4)/(N562+AH537*4)-D556-D553</f>
        <v>42.185682955808353</v>
      </c>
      <c r="E549" s="71"/>
      <c r="F549" s="3" t="s">
        <v>0</v>
      </c>
      <c r="G549" s="3"/>
      <c r="H549" s="31"/>
      <c r="I549" s="32"/>
      <c r="J549" s="32"/>
      <c r="K549" s="32"/>
      <c r="L549" s="32"/>
      <c r="M549" s="74">
        <f>+Q560/2</f>
        <v>12.5</v>
      </c>
      <c r="N549" s="74"/>
      <c r="O549" s="32"/>
      <c r="P549" s="32"/>
      <c r="Q549" s="6"/>
      <c r="R549" s="7"/>
      <c r="S549" s="80">
        <f>((N562*COS((AO535*360/(2*PI()*N562))*PI()/180))-M549)*Q546/((N562*SIN((AO535*360/(2*PI()*N562))*PI()/180))-Q546)</f>
        <v>28.134650327358091</v>
      </c>
      <c r="T549" s="81"/>
      <c r="U549" s="74" t="s">
        <v>0</v>
      </c>
      <c r="V549" s="32"/>
      <c r="W549" s="32"/>
      <c r="X549" s="32"/>
      <c r="Y549" s="32"/>
      <c r="Z549" s="32"/>
      <c r="AA549" s="3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23"/>
    </row>
    <row r="550" spans="1:59" x14ac:dyDescent="0.2">
      <c r="A550" s="5"/>
      <c r="B550" s="2"/>
      <c r="C550" s="79"/>
      <c r="D550" s="3"/>
      <c r="E550" s="3"/>
      <c r="F550" s="3"/>
      <c r="G550" s="3"/>
      <c r="H550" s="31"/>
      <c r="I550" s="32"/>
      <c r="J550" s="32"/>
      <c r="K550" s="32"/>
      <c r="L550" s="32"/>
      <c r="M550" s="32"/>
      <c r="N550" s="32"/>
      <c r="O550" s="32"/>
      <c r="P550" s="32"/>
      <c r="Q550" s="8"/>
      <c r="R550" s="10"/>
      <c r="S550" s="80"/>
      <c r="T550" s="81"/>
      <c r="U550" s="74"/>
      <c r="V550" s="32"/>
      <c r="W550" s="32"/>
      <c r="X550" s="32"/>
      <c r="Y550" s="32"/>
      <c r="Z550" s="32"/>
      <c r="AA550" s="3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23"/>
      <c r="BG550" s="1" t="s">
        <v>20</v>
      </c>
    </row>
    <row r="551" spans="1:59" x14ac:dyDescent="0.2">
      <c r="A551" s="5"/>
      <c r="B551" s="2"/>
      <c r="D551" s="3"/>
      <c r="E551" s="3"/>
      <c r="F551" s="3"/>
      <c r="G551" s="3"/>
      <c r="H551" s="31"/>
      <c r="I551" s="32"/>
      <c r="J551" s="32">
        <v>3</v>
      </c>
      <c r="K551" s="32"/>
      <c r="L551" s="32"/>
      <c r="M551" s="32"/>
      <c r="N551" s="32"/>
      <c r="O551" s="32"/>
      <c r="P551" s="32"/>
      <c r="Q551" s="8"/>
      <c r="R551" s="10"/>
      <c r="S551" s="90">
        <f>(N562*SIN((2*AO535*360/(2*PI()*N562))*PI()/180))*((N562*COS((2*AO535*360/(2*PI()*N562))*PI()/180))+AC553)/((N562*SIN((2*AO535*360/(2*PI()*N562))*PI()/180))+2*AH537)-(N562*COS((2*AO535*360/(2*PI()*N562))*PI()/180))+M549-S549</f>
        <v>5.3810073792998416</v>
      </c>
      <c r="T551" s="91"/>
      <c r="U551" s="74" t="s">
        <v>0</v>
      </c>
      <c r="V551" s="32"/>
      <c r="W551" s="32"/>
      <c r="X551" s="32"/>
      <c r="Y551" s="32">
        <v>12</v>
      </c>
      <c r="Z551" s="32"/>
      <c r="AA551" s="33"/>
      <c r="AB551" s="3"/>
      <c r="AC551" s="79" t="s">
        <v>0</v>
      </c>
      <c r="AD551" s="3"/>
      <c r="AE551" s="79" t="s">
        <v>0</v>
      </c>
      <c r="AF551" s="3"/>
      <c r="AG551" s="3"/>
      <c r="AI551" s="3"/>
      <c r="AJ551" s="3"/>
      <c r="AK551" s="3"/>
      <c r="AL551" s="3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23"/>
    </row>
    <row r="552" spans="1:59" x14ac:dyDescent="0.2">
      <c r="A552" s="5"/>
      <c r="B552" s="2"/>
      <c r="D552" s="3"/>
      <c r="E552" s="3"/>
      <c r="F552" s="3"/>
      <c r="G552" s="3"/>
      <c r="H552" s="31"/>
      <c r="I552" s="32"/>
      <c r="J552" s="32"/>
      <c r="K552" s="32"/>
      <c r="L552" s="32"/>
      <c r="M552" s="32"/>
      <c r="N552" s="32"/>
      <c r="O552" s="32"/>
      <c r="P552" s="32"/>
      <c r="Q552" s="8"/>
      <c r="R552" s="10"/>
      <c r="S552" s="90"/>
      <c r="T552" s="91"/>
      <c r="U552" s="74"/>
      <c r="V552" s="32"/>
      <c r="W552" s="32"/>
      <c r="X552" s="32"/>
      <c r="Y552" s="32"/>
      <c r="Z552" s="32"/>
      <c r="AA552" s="33"/>
      <c r="AB552" s="3"/>
      <c r="AC552" s="79"/>
      <c r="AD552" s="3"/>
      <c r="AE552" s="79"/>
      <c r="AF552" s="3"/>
      <c r="AG552" s="3"/>
      <c r="AJ552" s="3"/>
      <c r="AK552" s="3"/>
      <c r="AL552" s="3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23"/>
    </row>
    <row r="553" spans="1:59" x14ac:dyDescent="0.2">
      <c r="A553" s="5"/>
      <c r="B553" s="2"/>
      <c r="D553" s="71">
        <f>2*AO535*(I562+N562+AH537*5)/(N562+AH537*5)-D556</f>
        <v>39.330024931561177</v>
      </c>
      <c r="E553" s="71"/>
      <c r="F553" s="3" t="s">
        <v>0</v>
      </c>
      <c r="G553" s="3"/>
      <c r="H553" s="31"/>
      <c r="I553" s="32"/>
      <c r="J553" s="32"/>
      <c r="K553" s="32"/>
      <c r="L553" s="32"/>
      <c r="M553" s="32"/>
      <c r="N553" s="32"/>
      <c r="O553" s="32"/>
      <c r="P553" s="32"/>
      <c r="Q553" s="8"/>
      <c r="R553" s="10"/>
      <c r="S553" s="73">
        <f>(N562*SIN((3*AO535*360/(2*PI()*N562))*PI()/180))*((N562*COS((3*AO535*360/(2*PI()*N562))*PI()/180))+AC553)/((N562*SIN((3*AO535*360/(2*PI()*N562))*PI()/180))+3*AH537)-(N562*COS((3*AO535*360/(2*PI()*N562))*PI()/180))-S551+M549-S549</f>
        <v>8.650730717034822</v>
      </c>
      <c r="T553" s="74"/>
      <c r="U553" s="32" t="s">
        <v>0</v>
      </c>
      <c r="V553" s="32"/>
      <c r="W553" s="32"/>
      <c r="X553" s="32"/>
      <c r="Y553" s="32"/>
      <c r="Z553" s="32"/>
      <c r="AA553" s="33"/>
      <c r="AB553" s="3"/>
      <c r="AC553" s="79">
        <f>(7*AO535)-(2*PI()*N562*90/360)</f>
        <v>96.117266307370002</v>
      </c>
      <c r="AD553" s="3"/>
      <c r="AE553" s="79">
        <f>+AC553+M549</f>
        <v>108.61726630737</v>
      </c>
      <c r="AF553" s="3"/>
      <c r="AG553" s="3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23"/>
    </row>
    <row r="554" spans="1:59" x14ac:dyDescent="0.2">
      <c r="A554" s="5"/>
      <c r="B554" s="2"/>
      <c r="C554" s="3"/>
      <c r="D554" s="3"/>
      <c r="E554" s="3"/>
      <c r="F554" s="3"/>
      <c r="G554" s="3"/>
      <c r="H554" s="31"/>
      <c r="I554" s="32"/>
      <c r="J554" s="32">
        <v>2</v>
      </c>
      <c r="K554" s="32"/>
      <c r="L554" s="32"/>
      <c r="M554" s="32"/>
      <c r="N554" s="32"/>
      <c r="O554" s="32"/>
      <c r="P554" s="32"/>
      <c r="Q554" s="8"/>
      <c r="R554" s="10"/>
      <c r="S554" s="73">
        <f>+AC553+M549-S549-S551-S553-S555-S556-S558</f>
        <v>11.357944248987959</v>
      </c>
      <c r="T554" s="74"/>
      <c r="U554" s="32" t="s">
        <v>0</v>
      </c>
      <c r="V554" s="32"/>
      <c r="W554" s="32"/>
      <c r="X554" s="32"/>
      <c r="Y554" s="32">
        <v>13</v>
      </c>
      <c r="Z554" s="32"/>
      <c r="AA554" s="33"/>
      <c r="AB554" s="3"/>
      <c r="AC554" s="79"/>
      <c r="AD554" s="3"/>
      <c r="AE554" s="79"/>
      <c r="AF554" s="3"/>
      <c r="AG554" s="3"/>
      <c r="AJ554" s="3"/>
      <c r="AK554" s="3"/>
      <c r="AL554" s="3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23"/>
    </row>
    <row r="555" spans="1:59" x14ac:dyDescent="0.2">
      <c r="A555" s="5"/>
      <c r="B555" s="2"/>
      <c r="C555" s="3"/>
      <c r="D555" s="3"/>
      <c r="E555" s="3"/>
      <c r="F555" s="3"/>
      <c r="G555" s="3"/>
      <c r="H555" s="31"/>
      <c r="I555" s="32"/>
      <c r="J555" s="32"/>
      <c r="K555" s="32"/>
      <c r="L555" s="32"/>
      <c r="M555" s="32"/>
      <c r="N555" s="32"/>
      <c r="O555" s="32"/>
      <c r="P555" s="32"/>
      <c r="Q555" s="8"/>
      <c r="R555" s="10"/>
      <c r="S555" s="73">
        <f>3*AO535-((D556+D553+D549)-3*AO535)*N562/I562-S558-S556</f>
        <v>15.275633095064922</v>
      </c>
      <c r="T555" s="74"/>
      <c r="U555" s="32" t="s">
        <v>0</v>
      </c>
      <c r="V555" s="32"/>
      <c r="W555" s="32"/>
      <c r="X555" s="32"/>
      <c r="Y555" s="32"/>
      <c r="Z555" s="32"/>
      <c r="AA555" s="33"/>
      <c r="AB555" s="3"/>
      <c r="AC555" s="79"/>
      <c r="AD555" s="3"/>
      <c r="AE555" s="79"/>
      <c r="AF555" s="3"/>
      <c r="AG555" s="3"/>
      <c r="AJ555" s="3"/>
      <c r="AK555" s="3"/>
      <c r="AL555" s="3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23"/>
    </row>
    <row r="556" spans="1:59" x14ac:dyDescent="0.2">
      <c r="A556" s="5"/>
      <c r="B556" s="2"/>
      <c r="C556" s="3"/>
      <c r="D556" s="71">
        <f>1*AO535*(I562+N562+AH537*6)/(N562+AH537*6)</f>
        <v>37.372898759784171</v>
      </c>
      <c r="E556" s="71"/>
      <c r="F556" s="3" t="s">
        <v>0</v>
      </c>
      <c r="G556" s="3"/>
      <c r="H556" s="31"/>
      <c r="I556" s="32"/>
      <c r="J556" s="32">
        <v>1</v>
      </c>
      <c r="K556" s="32"/>
      <c r="L556" s="32"/>
      <c r="M556" s="32"/>
      <c r="N556" s="32"/>
      <c r="O556" s="32"/>
      <c r="P556" s="32"/>
      <c r="Q556" s="8"/>
      <c r="R556" s="10"/>
      <c r="S556" s="73">
        <f>2*AO535-((+D556+D553)-2*AO535)*N562/I562-S558</f>
        <v>18.726219874363576</v>
      </c>
      <c r="T556" s="74"/>
      <c r="U556" s="74" t="s">
        <v>0</v>
      </c>
      <c r="V556" s="32"/>
      <c r="W556" s="32"/>
      <c r="X556" s="32"/>
      <c r="Y556" s="32">
        <v>14</v>
      </c>
      <c r="Z556" s="32"/>
      <c r="AA556" s="33"/>
      <c r="AB556" s="3"/>
      <c r="AD556" s="3"/>
      <c r="AF556" s="3"/>
      <c r="AG556" s="3"/>
      <c r="AH556" s="3"/>
      <c r="AJ556" s="3"/>
      <c r="AK556" s="3"/>
      <c r="AL556" s="3"/>
      <c r="AM556" s="3"/>
      <c r="AN556" s="3"/>
      <c r="AO556" s="3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23"/>
    </row>
    <row r="557" spans="1:59" x14ac:dyDescent="0.2">
      <c r="A557" s="5"/>
      <c r="B557" s="2"/>
      <c r="C557" s="3"/>
      <c r="D557" s="3"/>
      <c r="E557" s="3"/>
      <c r="F557" s="3"/>
      <c r="G557" s="3"/>
      <c r="H557" s="31"/>
      <c r="I557" s="32"/>
      <c r="J557" s="32"/>
      <c r="K557" s="32"/>
      <c r="L557" s="32"/>
      <c r="M557" s="32"/>
      <c r="N557" s="32"/>
      <c r="O557" s="32"/>
      <c r="P557" s="32"/>
      <c r="Q557" s="8"/>
      <c r="R557" s="10"/>
      <c r="S557" s="73"/>
      <c r="T557" s="74"/>
      <c r="U557" s="74"/>
      <c r="V557" s="32"/>
      <c r="W557" s="32"/>
      <c r="X557" s="32"/>
      <c r="Y557" s="32"/>
      <c r="Z557" s="32"/>
      <c r="AA557" s="33"/>
      <c r="AB557" s="3"/>
      <c r="AD557" s="3"/>
      <c r="AE557" s="3"/>
      <c r="AF557" s="3"/>
      <c r="AG557" s="3"/>
      <c r="AH557" s="3"/>
      <c r="AI557" s="3"/>
      <c r="AJ557" s="3"/>
      <c r="AK557" s="3"/>
      <c r="AL557" s="3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23"/>
    </row>
    <row r="558" spans="1:59" x14ac:dyDescent="0.2">
      <c r="A558" s="5"/>
      <c r="B558" s="2"/>
      <c r="C558" s="3"/>
      <c r="D558" s="3"/>
      <c r="E558" s="3"/>
      <c r="F558" s="3"/>
      <c r="G558" s="3"/>
      <c r="H558" s="35"/>
      <c r="I558" s="36"/>
      <c r="J558" s="36"/>
      <c r="K558" s="36"/>
      <c r="L558" s="36"/>
      <c r="M558" s="36"/>
      <c r="N558" s="36"/>
      <c r="O558" s="36"/>
      <c r="P558" s="36"/>
      <c r="Q558" s="11"/>
      <c r="R558" s="12"/>
      <c r="S558" s="75">
        <f>1*AO535-((+D556)-1*AO535)*N562/I562</f>
        <v>21.091080665260794</v>
      </c>
      <c r="T558" s="76"/>
      <c r="U558" s="36" t="s">
        <v>0</v>
      </c>
      <c r="V558" s="36"/>
      <c r="W558" s="36"/>
      <c r="X558" s="36"/>
      <c r="Y558" s="36"/>
      <c r="Z558" s="36"/>
      <c r="AA558" s="37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5"/>
    </row>
    <row r="559" spans="1:59" x14ac:dyDescent="0.2">
      <c r="A559" s="5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Z559" s="3"/>
      <c r="BA559" s="3"/>
      <c r="BB559" s="3"/>
      <c r="BC559" s="5"/>
    </row>
    <row r="560" spans="1:59" x14ac:dyDescent="0.2">
      <c r="A560" s="5"/>
      <c r="B560" s="2"/>
      <c r="C560" s="3"/>
      <c r="D560" s="3"/>
      <c r="E560" s="3"/>
      <c r="F560" s="3"/>
      <c r="G560" s="3"/>
      <c r="H560" s="3"/>
      <c r="I560" s="3"/>
      <c r="J560" s="3"/>
      <c r="K560" s="78">
        <v>120</v>
      </c>
      <c r="L560" s="78"/>
      <c r="M560" s="3" t="s">
        <v>0</v>
      </c>
      <c r="N560" s="3"/>
      <c r="O560" s="3"/>
      <c r="P560" s="3"/>
      <c r="Q560" s="78">
        <v>25</v>
      </c>
      <c r="R560" s="78"/>
      <c r="S560" s="3" t="s">
        <v>0</v>
      </c>
      <c r="T560" s="3"/>
      <c r="U560" s="3"/>
      <c r="V560" s="71">
        <f>+K560</f>
        <v>120</v>
      </c>
      <c r="W560" s="71"/>
      <c r="X560" s="3" t="s">
        <v>0</v>
      </c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J560" s="3" t="s">
        <v>9</v>
      </c>
      <c r="AK560" s="3"/>
      <c r="AL560" s="71">
        <f>+AO535</f>
        <v>30</v>
      </c>
      <c r="AM560" s="71"/>
      <c r="AN560" s="3" t="s">
        <v>0</v>
      </c>
      <c r="AO560" s="3"/>
      <c r="AP560" s="3"/>
      <c r="AQ560" s="3"/>
      <c r="AR560" s="3"/>
      <c r="AS560" s="3"/>
      <c r="AT560" s="3"/>
      <c r="AU560" s="3"/>
      <c r="AZ560" s="3"/>
      <c r="BA560" s="3"/>
      <c r="BB560" s="3"/>
      <c r="BC560" s="5"/>
    </row>
    <row r="561" spans="1:97" x14ac:dyDescent="0.2">
      <c r="A561" s="5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Z561" s="3"/>
      <c r="BA561" s="3"/>
      <c r="BB561" s="3"/>
      <c r="BC561" s="5"/>
    </row>
    <row r="562" spans="1:97" x14ac:dyDescent="0.2">
      <c r="A562" s="5"/>
      <c r="B562" s="2"/>
      <c r="C562" s="3"/>
      <c r="D562" s="3"/>
      <c r="E562" s="3"/>
      <c r="F562" s="3"/>
      <c r="G562" s="3"/>
      <c r="H562" s="3"/>
      <c r="I562" s="71">
        <f>+K560/2</f>
        <v>60</v>
      </c>
      <c r="J562" s="71"/>
      <c r="K562" s="3" t="s">
        <v>0</v>
      </c>
      <c r="L562" s="3"/>
      <c r="M562" s="3"/>
      <c r="N562" s="71">
        <f>+K560/2+Q560/2</f>
        <v>72.5</v>
      </c>
      <c r="O562" s="71"/>
      <c r="P562" s="3" t="s">
        <v>0</v>
      </c>
      <c r="Q562" s="3"/>
      <c r="R562" s="3"/>
      <c r="S562" s="3"/>
      <c r="T562" s="71">
        <f>+V560/2+Q560/2</f>
        <v>72.5</v>
      </c>
      <c r="U562" s="71"/>
      <c r="V562" s="3" t="s">
        <v>0</v>
      </c>
      <c r="W562" s="3"/>
      <c r="X562" s="3"/>
      <c r="Y562" s="71">
        <f>+V560/2</f>
        <v>60</v>
      </c>
      <c r="Z562" s="71"/>
      <c r="AA562" s="3" t="s">
        <v>0</v>
      </c>
      <c r="AB562" s="3"/>
      <c r="AC562" s="3"/>
      <c r="AD562" s="3"/>
      <c r="AE562" s="3"/>
      <c r="AF562" s="3"/>
      <c r="AG562" s="3"/>
      <c r="AH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Z562" s="3"/>
      <c r="BA562" s="3"/>
      <c r="BB562" s="3"/>
      <c r="BC562" s="5"/>
    </row>
    <row r="563" spans="1:97" x14ac:dyDescent="0.2">
      <c r="A563" s="5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Z563" s="3"/>
      <c r="BA563" s="3"/>
      <c r="BB563" s="3"/>
      <c r="BC563" s="5"/>
    </row>
    <row r="564" spans="1:97" x14ac:dyDescent="0.2">
      <c r="A564" s="5"/>
      <c r="B564" s="2"/>
      <c r="C564" s="3"/>
      <c r="D564" s="3"/>
      <c r="E564" s="3"/>
      <c r="F564" s="3"/>
      <c r="G564" s="3"/>
      <c r="H564" s="3"/>
      <c r="I564" s="3"/>
      <c r="J564" s="3"/>
      <c r="K564" s="72">
        <f>+K560+Q560/2</f>
        <v>132.5</v>
      </c>
      <c r="L564" s="72"/>
      <c r="M564" s="72"/>
      <c r="N564" s="3" t="s">
        <v>0</v>
      </c>
      <c r="O564" s="3"/>
      <c r="P564" s="3"/>
      <c r="Q564" s="3"/>
      <c r="R564" s="3"/>
      <c r="S564" s="3"/>
      <c r="T564" s="3"/>
      <c r="U564" s="71">
        <f>+K564</f>
        <v>132.5</v>
      </c>
      <c r="V564" s="71"/>
      <c r="W564" s="71"/>
      <c r="X564" s="3" t="s">
        <v>0</v>
      </c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J564" s="3" t="s">
        <v>21</v>
      </c>
      <c r="AK564" s="3"/>
      <c r="AL564" s="3"/>
      <c r="AM564" s="3"/>
      <c r="AN564" s="3"/>
      <c r="AO564" s="3"/>
      <c r="AP564" s="38"/>
      <c r="AQ564" s="38"/>
      <c r="AR564" s="9"/>
      <c r="AS564" s="3"/>
      <c r="AT564" s="3"/>
      <c r="AU564" s="3"/>
      <c r="AZ564" s="3"/>
      <c r="BA564" s="3"/>
      <c r="BB564" s="3"/>
      <c r="BC564" s="5"/>
    </row>
    <row r="565" spans="1:97" x14ac:dyDescent="0.2">
      <c r="A565" s="5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Z565" s="3"/>
      <c r="BA565" s="3"/>
      <c r="BB565" s="3"/>
      <c r="BC565" s="5"/>
    </row>
    <row r="566" spans="1:97" x14ac:dyDescent="0.2">
      <c r="A566" s="5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71">
        <f>+K560+Q560+V560</f>
        <v>265</v>
      </c>
      <c r="R566" s="71"/>
      <c r="S566" s="3" t="s">
        <v>0</v>
      </c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5"/>
    </row>
    <row r="567" spans="1:97" ht="12" thickBot="1" x14ac:dyDescent="0.25">
      <c r="A567" s="5"/>
      <c r="B567" s="13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5"/>
    </row>
    <row r="568" spans="1:97" ht="12" thickBot="1" x14ac:dyDescent="0.25"/>
    <row r="569" spans="1:97" ht="48.75" customHeight="1" x14ac:dyDescent="0.2">
      <c r="A569" s="18"/>
      <c r="B569" s="85" t="s">
        <v>25</v>
      </c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5"/>
      <c r="T569" s="85"/>
      <c r="U569" s="85"/>
      <c r="V569" s="85"/>
      <c r="W569" s="85"/>
      <c r="X569" s="85"/>
      <c r="Y569" s="85"/>
      <c r="Z569" s="85"/>
      <c r="AA569" s="85"/>
      <c r="AB569" s="85"/>
      <c r="AC569" s="85"/>
      <c r="AD569" s="85"/>
      <c r="AE569" s="85"/>
      <c r="AF569" s="85"/>
      <c r="AG569" s="85"/>
      <c r="AH569" s="85"/>
      <c r="AI569" s="85"/>
      <c r="AJ569" s="85"/>
      <c r="AK569" s="85"/>
      <c r="AL569" s="85"/>
      <c r="AM569" s="85"/>
      <c r="AN569" s="85"/>
      <c r="AO569" s="85"/>
      <c r="AP569" s="85"/>
      <c r="AQ569" s="85"/>
      <c r="AR569" s="85"/>
      <c r="AS569" s="85"/>
      <c r="AT569" s="85"/>
      <c r="AU569" s="85"/>
      <c r="AV569" s="85"/>
      <c r="AW569" s="85"/>
      <c r="AX569" s="85"/>
      <c r="AY569" s="85"/>
      <c r="AZ569" s="85"/>
      <c r="BA569" s="85"/>
      <c r="BB569" s="85"/>
      <c r="BC569" s="86"/>
      <c r="BD569" s="17"/>
      <c r="BE569" s="17"/>
      <c r="BF569" s="17"/>
      <c r="BG569" s="17"/>
      <c r="BH569" s="17"/>
      <c r="BI569" s="17"/>
      <c r="BJ569" s="17"/>
      <c r="BK569" s="17"/>
      <c r="BL569" s="17"/>
      <c r="BM569" s="17"/>
      <c r="BN569" s="17"/>
      <c r="BO569" s="17"/>
      <c r="BP569" s="17"/>
      <c r="BQ569" s="17"/>
      <c r="BR569" s="17"/>
      <c r="BS569" s="17"/>
      <c r="BT569" s="17"/>
      <c r="BU569" s="17"/>
      <c r="BV569" s="17"/>
      <c r="BW569" s="17"/>
      <c r="BX569" s="17"/>
      <c r="BY569" s="17"/>
      <c r="BZ569" s="17"/>
      <c r="CA569" s="17"/>
      <c r="CB569" s="17"/>
      <c r="CC569" s="17"/>
      <c r="CD569" s="17"/>
      <c r="CE569" s="17"/>
      <c r="CF569" s="17"/>
      <c r="CG569" s="17"/>
      <c r="CH569" s="17"/>
      <c r="CI569" s="17"/>
    </row>
    <row r="570" spans="1:97" x14ac:dyDescent="0.2">
      <c r="A570" s="23"/>
      <c r="B570" s="3"/>
      <c r="C570" s="3"/>
      <c r="D570" s="3"/>
      <c r="E570" s="3"/>
      <c r="F570" s="3"/>
      <c r="G570" s="3"/>
      <c r="H570" s="3"/>
      <c r="I570" s="3"/>
      <c r="J570" s="3"/>
      <c r="K570" s="3"/>
      <c r="N570" s="3"/>
      <c r="O570" s="3"/>
      <c r="P570" s="3"/>
      <c r="Q570" s="3"/>
      <c r="R570" s="3"/>
      <c r="S570" s="3"/>
      <c r="T570" s="3"/>
      <c r="U570" s="3"/>
      <c r="X570" s="3"/>
      <c r="Y570" s="3"/>
      <c r="Z570" s="16" t="s">
        <v>5</v>
      </c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18"/>
      <c r="BD570" s="17"/>
      <c r="BE570" s="17"/>
      <c r="BF570" s="17"/>
      <c r="BG570" s="17"/>
      <c r="BH570" s="17"/>
      <c r="BI570" s="17"/>
      <c r="BJ570" s="17"/>
      <c r="BK570" s="17"/>
      <c r="BL570" s="17"/>
      <c r="BM570" s="17"/>
      <c r="BN570" s="17"/>
      <c r="BO570" s="17"/>
      <c r="BP570" s="17"/>
      <c r="BQ570" s="17"/>
      <c r="BR570" s="17"/>
      <c r="BS570" s="17"/>
      <c r="BT570" s="17"/>
      <c r="BU570" s="17"/>
      <c r="BV570" s="17"/>
      <c r="BW570" s="17"/>
      <c r="BX570" s="17"/>
      <c r="BY570" s="17"/>
      <c r="BZ570" s="17"/>
      <c r="CA570" s="17"/>
      <c r="CB570" s="17"/>
      <c r="CC570" s="17"/>
      <c r="CD570" s="17"/>
      <c r="CE570" s="17"/>
      <c r="CF570" s="17"/>
      <c r="CG570" s="17"/>
      <c r="CH570" s="17"/>
      <c r="CI570" s="17"/>
    </row>
    <row r="571" spans="1:97" x14ac:dyDescent="0.2">
      <c r="A571" s="23"/>
      <c r="B571" s="3"/>
      <c r="C571" s="3"/>
      <c r="D571" s="3"/>
      <c r="E571" s="3"/>
      <c r="F571" s="3"/>
      <c r="G571" s="3"/>
      <c r="H571" s="3"/>
      <c r="I571" s="3"/>
      <c r="J571" s="3"/>
      <c r="K571" s="71">
        <f>+K601</f>
        <v>132.5</v>
      </c>
      <c r="L571" s="71"/>
      <c r="M571" s="71"/>
      <c r="N571" s="3" t="s">
        <v>0</v>
      </c>
      <c r="O571" s="3"/>
      <c r="P571" s="3"/>
      <c r="Q571" s="3"/>
      <c r="R571" s="3"/>
      <c r="S571" s="3"/>
      <c r="T571" s="3"/>
      <c r="U571" s="71">
        <f>+K571</f>
        <v>132.5</v>
      </c>
      <c r="V571" s="71"/>
      <c r="W571" s="71"/>
      <c r="X571" s="3" t="s">
        <v>0</v>
      </c>
      <c r="Y571" s="3"/>
      <c r="Z571" s="16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5"/>
    </row>
    <row r="572" spans="1:97" x14ac:dyDescent="0.2">
      <c r="A572" s="23"/>
      <c r="B572" s="3"/>
      <c r="C572" s="3"/>
      <c r="F572" s="3"/>
      <c r="G572" s="3"/>
      <c r="H572" s="3"/>
      <c r="I572" s="3"/>
      <c r="J572" s="3"/>
      <c r="K572" s="3"/>
      <c r="Q572" s="3"/>
      <c r="R572" s="3"/>
      <c r="X572" s="3"/>
      <c r="Y572" s="3"/>
      <c r="Z572" s="3"/>
      <c r="AA572" s="3"/>
      <c r="AB572" s="3"/>
      <c r="AC572" s="3"/>
      <c r="AD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5"/>
    </row>
    <row r="573" spans="1:97" x14ac:dyDescent="0.2">
      <c r="A573" s="23"/>
      <c r="B573" s="3"/>
      <c r="C573" s="3"/>
      <c r="D573" s="3"/>
      <c r="E573" s="3"/>
      <c r="F573" s="3"/>
      <c r="G573" s="3"/>
      <c r="H573" s="71">
        <f>+K571-L573-P573</f>
        <v>56.822613859498858</v>
      </c>
      <c r="I573" s="71"/>
      <c r="J573" s="3" t="s">
        <v>0</v>
      </c>
      <c r="K573" s="3"/>
      <c r="L573" s="71">
        <f>(N599*SIN((1.5*AT573*360/(2*PI()*N599))*PI()/180))*((I599+N599-(N599*COS((1.5*AT573*360/(2*PI()*N599))*PI()/180)))+((N599*SIN((1.5*AT573*360/(2*PI()*N599))*PI()/180))*((N599*COS((1.5*AT573*360/(2*PI()*N599))*PI()/180))+AC590)/((N599*SIN((1.5*AT573*360/(2*PI()*N599))*PI()/180))+2*AM575)))/((N599*SIN((1.5*AT573*360/(2*PI()*N599))*PI()/180))*((N599*COS((1.5*AT573*360/(2*PI()*N599))*PI()/180))+AC590)/((N599*SIN((1.5*AT573*360/(2*PI()*N599))*PI()/180))+2*AM575))-P573</f>
        <v>50.367576743064959</v>
      </c>
      <c r="M573" s="71"/>
      <c r="N573" s="1" t="s">
        <v>0</v>
      </c>
      <c r="P573" s="71">
        <f>((N599*SIN((AT573/2*360/(2*PI()*N599))*PI()/180))-Q583)*(I599-((N599*COS((AT573/2*360/(2*PI()*N599))*PI()/180))-M586)+I599)/((N599*COS((AT573/2*360/(2*PI()*N599))*PI()/180))-M586)+(N599*SIN((AT573/2*360/(2*PI()*N599))*PI()/180))</f>
        <v>25.309809397436183</v>
      </c>
      <c r="Q573" s="71"/>
      <c r="R573" s="71">
        <f>+P573</f>
        <v>25.309809397436183</v>
      </c>
      <c r="S573" s="71"/>
      <c r="U573" s="71">
        <f>+L573</f>
        <v>50.367576743064959</v>
      </c>
      <c r="V573" s="71"/>
      <c r="W573" s="1" t="s">
        <v>0</v>
      </c>
      <c r="X573" s="3"/>
      <c r="Y573" s="71">
        <f>+H573</f>
        <v>56.822613859498858</v>
      </c>
      <c r="Z573" s="71"/>
      <c r="AA573" s="3" t="s">
        <v>0</v>
      </c>
      <c r="AB573" s="3"/>
      <c r="AC573" s="3"/>
      <c r="AD573" s="3"/>
      <c r="AG573" s="3"/>
      <c r="AM573" s="3" t="s">
        <v>1</v>
      </c>
      <c r="AN573" s="3"/>
      <c r="AO573" s="3"/>
      <c r="AP573" s="3"/>
      <c r="AQ573" s="3"/>
      <c r="AR573" s="3"/>
      <c r="AS573" s="3"/>
      <c r="AT573" s="78">
        <v>30</v>
      </c>
      <c r="AU573" s="78"/>
      <c r="AV573" s="3" t="s">
        <v>0</v>
      </c>
      <c r="AW573" s="3"/>
      <c r="AX573" s="3"/>
      <c r="AY573" s="3"/>
      <c r="AZ573" s="3"/>
      <c r="BA573" s="3"/>
      <c r="BB573" s="3"/>
      <c r="BC573" s="5"/>
      <c r="BG573" s="27" t="s">
        <v>22</v>
      </c>
      <c r="CS573" s="3"/>
    </row>
    <row r="574" spans="1:97" x14ac:dyDescent="0.2">
      <c r="A574" s="2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M574" s="3" t="s">
        <v>3</v>
      </c>
      <c r="AN574" s="3"/>
      <c r="AO574" s="3"/>
      <c r="AP574" s="3"/>
      <c r="AQ574" s="3"/>
      <c r="AR574" s="3"/>
      <c r="AS574" s="9">
        <v>13</v>
      </c>
      <c r="AT574" s="3" t="s">
        <v>4</v>
      </c>
      <c r="AU574" s="3"/>
      <c r="AV574" s="3"/>
      <c r="AW574" s="3"/>
      <c r="AX574" s="3"/>
      <c r="AY574" s="3"/>
      <c r="AZ574" s="3"/>
      <c r="BA574" s="3"/>
      <c r="BB574" s="3"/>
      <c r="BC574" s="5"/>
      <c r="BG574" s="3" t="s">
        <v>18</v>
      </c>
      <c r="BH574" s="3"/>
      <c r="BI574" s="3"/>
      <c r="BJ574" s="3"/>
      <c r="BK574" s="3"/>
      <c r="BL574" s="78">
        <v>2.2000000000000002</v>
      </c>
      <c r="BM574" s="78"/>
      <c r="BN574" s="3" t="s">
        <v>10</v>
      </c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CS574" s="3"/>
    </row>
    <row r="575" spans="1:97" x14ac:dyDescent="0.2">
      <c r="A575" s="2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M575" s="82">
        <f>P573*(AC590+M586-S586)/(AC581-M586+S586)</f>
        <v>10.844573625097574</v>
      </c>
      <c r="AN575" s="82"/>
      <c r="AO575" s="82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5"/>
      <c r="BG575" s="21" t="s">
        <v>6</v>
      </c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CS575" s="3"/>
    </row>
    <row r="576" spans="1:97" x14ac:dyDescent="0.2">
      <c r="A576" s="23"/>
      <c r="B576" s="3"/>
      <c r="C576" s="3"/>
      <c r="D576" s="71">
        <f>+C585-D584-D589-D593-D579</f>
        <v>8.0308016503724389</v>
      </c>
      <c r="E576" s="71"/>
      <c r="F576" s="3" t="s">
        <v>0</v>
      </c>
      <c r="G576" s="3"/>
      <c r="H576" s="28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30"/>
      <c r="AB576" s="3"/>
      <c r="AC576" s="3"/>
      <c r="AD576" s="3"/>
      <c r="AE576" s="3"/>
      <c r="AF576" s="3"/>
      <c r="AG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5"/>
      <c r="BG576" s="3" t="s">
        <v>7</v>
      </c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CS576" s="3"/>
    </row>
    <row r="577" spans="1:97" x14ac:dyDescent="0.2">
      <c r="A577" s="23"/>
      <c r="B577" s="3"/>
      <c r="C577" s="3"/>
      <c r="G577" s="3"/>
      <c r="H577" s="31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3"/>
      <c r="AB577" s="3"/>
      <c r="AC577" s="3"/>
      <c r="AD577" s="3"/>
      <c r="AE577" s="3"/>
      <c r="AF577" s="3"/>
      <c r="AG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5"/>
      <c r="BG577" s="3" t="s">
        <v>8</v>
      </c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CS577" s="3"/>
    </row>
    <row r="578" spans="1:97" x14ac:dyDescent="0.2">
      <c r="A578" s="23"/>
      <c r="B578" s="3"/>
      <c r="C578" s="3"/>
      <c r="D578" s="3"/>
      <c r="E578" s="3"/>
      <c r="F578" s="3"/>
      <c r="G578" s="3"/>
      <c r="H578" s="31"/>
      <c r="I578" s="32"/>
      <c r="J578" s="32"/>
      <c r="K578" s="32"/>
      <c r="L578" s="32"/>
      <c r="M578" s="32"/>
      <c r="N578" s="32">
        <v>6</v>
      </c>
      <c r="O578" s="34"/>
      <c r="P578" s="32"/>
      <c r="Q578" s="74">
        <v>7</v>
      </c>
      <c r="R578" s="74"/>
      <c r="S578" s="32"/>
      <c r="T578" s="32"/>
      <c r="U578" s="32">
        <v>8</v>
      </c>
      <c r="V578" s="32"/>
      <c r="W578" s="32"/>
      <c r="X578" s="32"/>
      <c r="Y578" s="32">
        <v>9</v>
      </c>
      <c r="Z578" s="32"/>
      <c r="AA578" s="33"/>
      <c r="AB578" s="3"/>
      <c r="AC578" s="3"/>
      <c r="AD578" s="3"/>
      <c r="AE578" s="3"/>
      <c r="AF578" s="3"/>
      <c r="AG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5"/>
      <c r="BG578" s="3" t="s">
        <v>9</v>
      </c>
      <c r="BH578" s="3"/>
      <c r="BI578" s="71">
        <f>0.63-2*BI579</f>
        <v>0.29153846153846152</v>
      </c>
      <c r="BJ578" s="71"/>
      <c r="BK578" s="71"/>
      <c r="BL578" s="3" t="s">
        <v>10</v>
      </c>
      <c r="BM578" s="3" t="s">
        <v>11</v>
      </c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CR578" s="3"/>
      <c r="CS578" s="3"/>
    </row>
    <row r="579" spans="1:97" x14ac:dyDescent="0.2">
      <c r="A579" s="23"/>
      <c r="B579" s="3"/>
      <c r="C579" s="3"/>
      <c r="D579" s="71">
        <f>(S591+S592+S593+S595)*(K601+3*AM575)/(3*AM575)-D584-D589-D593</f>
        <v>68.376025697742989</v>
      </c>
      <c r="E579" s="71"/>
      <c r="F579" s="3" t="s">
        <v>0</v>
      </c>
      <c r="G579" s="3"/>
      <c r="H579" s="31"/>
      <c r="I579" s="32"/>
      <c r="J579" s="32"/>
      <c r="K579" s="32">
        <v>5</v>
      </c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3"/>
      <c r="AB579" s="3"/>
      <c r="AC579" s="79" t="s">
        <v>0</v>
      </c>
      <c r="AD579" s="3"/>
      <c r="AE579" s="79" t="s">
        <v>0</v>
      </c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5"/>
      <c r="BG579" s="3" t="s">
        <v>12</v>
      </c>
      <c r="BH579" s="3"/>
      <c r="BI579" s="71">
        <f>BL574/BL580</f>
        <v>0.16923076923076924</v>
      </c>
      <c r="BJ579" s="71"/>
      <c r="BK579" s="71"/>
      <c r="BL579" s="3" t="s">
        <v>10</v>
      </c>
      <c r="BM579" s="3" t="s">
        <v>13</v>
      </c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CS579" s="3"/>
    </row>
    <row r="580" spans="1:97" x14ac:dyDescent="0.2">
      <c r="A580" s="23"/>
      <c r="B580" s="3"/>
      <c r="C580" s="3"/>
      <c r="D580" s="3"/>
      <c r="E580" s="3"/>
      <c r="F580" s="3"/>
      <c r="G580" s="3"/>
      <c r="H580" s="31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3"/>
      <c r="AB580" s="3"/>
      <c r="AC580" s="79"/>
      <c r="AD580" s="3"/>
      <c r="AE580" s="79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5"/>
      <c r="BG580" s="3" t="s">
        <v>14</v>
      </c>
      <c r="BH580" s="3"/>
      <c r="BI580" s="3"/>
      <c r="BJ580" s="3"/>
      <c r="BK580" s="3"/>
      <c r="BL580" s="72">
        <v>13</v>
      </c>
      <c r="BM580" s="72"/>
      <c r="BN580" s="3" t="s">
        <v>4</v>
      </c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</row>
    <row r="581" spans="1:97" x14ac:dyDescent="0.2">
      <c r="A581" s="23"/>
      <c r="B581" s="3"/>
      <c r="C581" s="3"/>
      <c r="G581" s="3"/>
      <c r="H581" s="31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3"/>
      <c r="AB581" s="3"/>
      <c r="AC581" s="79">
        <f>+K597+Q597/2</f>
        <v>132.5</v>
      </c>
      <c r="AD581" s="3"/>
      <c r="AE581" s="79">
        <f>+C585-AE590</f>
        <v>120.00000000000001</v>
      </c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9"/>
      <c r="AY581" s="9"/>
      <c r="AZ581" s="9"/>
      <c r="BA581" s="9"/>
      <c r="BB581" s="9"/>
      <c r="BC581" s="23"/>
      <c r="BG581" s="3">
        <v>2</v>
      </c>
      <c r="BH581" s="41" t="s">
        <v>15</v>
      </c>
      <c r="BI581" s="71">
        <f>+BI579</f>
        <v>0.16923076923076924</v>
      </c>
      <c r="BJ581" s="71"/>
      <c r="BK581" s="71"/>
      <c r="BL581" s="41" t="s">
        <v>16</v>
      </c>
      <c r="BM581" s="71">
        <f>+BI578</f>
        <v>0.29153846153846152</v>
      </c>
      <c r="BN581" s="71"/>
      <c r="BO581" s="71"/>
      <c r="BP581" s="41" t="s">
        <v>17</v>
      </c>
      <c r="BQ581" s="71">
        <f>+BG581*BI581+BM581</f>
        <v>0.63</v>
      </c>
      <c r="BR581" s="71"/>
      <c r="BS581" s="71"/>
      <c r="BT581" s="3" t="s">
        <v>10</v>
      </c>
      <c r="BU581" s="3"/>
      <c r="BV581" s="16" t="str">
        <f>IF(BQ581=0.63,"uygun.","uygun değil.")</f>
        <v>uygun.</v>
      </c>
      <c r="BW581" s="3"/>
      <c r="BX581" s="3"/>
      <c r="BY581" s="3"/>
    </row>
    <row r="582" spans="1:97" x14ac:dyDescent="0.2">
      <c r="A582" s="23"/>
      <c r="B582" s="3"/>
      <c r="C582" s="3"/>
      <c r="D582" s="3"/>
      <c r="E582" s="3"/>
      <c r="F582" s="3"/>
      <c r="G582" s="3"/>
      <c r="H582" s="31"/>
      <c r="I582" s="32"/>
      <c r="J582" s="32">
        <v>4</v>
      </c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>
        <v>10</v>
      </c>
      <c r="Z582" s="32"/>
      <c r="AA582" s="33"/>
      <c r="AB582" s="3"/>
      <c r="AC582" s="79"/>
      <c r="AD582" s="3"/>
      <c r="AE582" s="79"/>
      <c r="AF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9"/>
      <c r="AY582" s="9"/>
      <c r="AZ582" s="9"/>
      <c r="BA582" s="9"/>
      <c r="BB582" s="9"/>
      <c r="BC582" s="23"/>
    </row>
    <row r="583" spans="1:97" x14ac:dyDescent="0.2">
      <c r="A583" s="23"/>
      <c r="B583" s="3"/>
      <c r="C583" s="79" t="s">
        <v>0</v>
      </c>
      <c r="D583" s="3"/>
      <c r="E583" s="3"/>
      <c r="F583" s="3"/>
      <c r="G583" s="3"/>
      <c r="H583" s="31"/>
      <c r="I583" s="32"/>
      <c r="J583" s="32"/>
      <c r="K583" s="32"/>
      <c r="L583" s="32"/>
      <c r="M583" s="32"/>
      <c r="N583" s="32"/>
      <c r="O583" s="32"/>
      <c r="P583" s="32"/>
      <c r="Q583" s="20">
        <v>5</v>
      </c>
      <c r="R583" s="32" t="s">
        <v>0</v>
      </c>
      <c r="S583" s="32"/>
      <c r="T583" s="32"/>
      <c r="U583" s="32"/>
      <c r="V583" s="32"/>
      <c r="W583" s="32"/>
      <c r="X583" s="32"/>
      <c r="Y583" s="32"/>
      <c r="Z583" s="32"/>
      <c r="AA583" s="33"/>
      <c r="AB583" s="3"/>
      <c r="AC583" s="79"/>
      <c r="AD583" s="3"/>
      <c r="AE583" s="79"/>
      <c r="AF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9"/>
      <c r="AY583" s="9"/>
      <c r="AZ583" s="9"/>
      <c r="BA583" s="9"/>
      <c r="BB583" s="9"/>
      <c r="BC583" s="23"/>
    </row>
    <row r="584" spans="1:97" x14ac:dyDescent="0.2">
      <c r="A584" s="23"/>
      <c r="B584" s="3"/>
      <c r="C584" s="79"/>
      <c r="D584" s="71">
        <f>((S592+S593+S595)*(K601+4*AM575)/(4*AM575))-((S593+S595)*(K601+5*AM575)/(5*AM575))</f>
        <v>48.80199103464571</v>
      </c>
      <c r="E584" s="71"/>
      <c r="F584" s="3" t="s">
        <v>0</v>
      </c>
      <c r="G584" s="3"/>
      <c r="H584" s="31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3"/>
      <c r="AB584" s="3"/>
      <c r="AC584" s="3"/>
      <c r="AD584" s="3"/>
      <c r="AE584" s="3"/>
      <c r="AF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9"/>
      <c r="AY584" s="9"/>
      <c r="AZ584" s="9"/>
      <c r="BA584" s="9"/>
      <c r="BB584" s="9"/>
      <c r="BC584" s="23"/>
      <c r="BG584" s="1" t="s">
        <v>19</v>
      </c>
    </row>
    <row r="585" spans="1:97" x14ac:dyDescent="0.2">
      <c r="A585" s="23"/>
      <c r="B585" s="3"/>
      <c r="C585" s="79">
        <f>+AC581+AC590</f>
        <v>213.61726630737002</v>
      </c>
      <c r="D585" s="3"/>
      <c r="E585" s="3"/>
      <c r="F585" s="3"/>
      <c r="G585" s="3"/>
      <c r="H585" s="31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3"/>
      <c r="AB585" s="3"/>
      <c r="AC585" s="3"/>
      <c r="AD585" s="3"/>
      <c r="AE585" s="3"/>
      <c r="AF585" s="3"/>
      <c r="AH585" s="3"/>
      <c r="AI585" s="3"/>
      <c r="AJ585" s="3"/>
      <c r="AK585" s="3"/>
      <c r="AL585" s="3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Y585" s="9"/>
      <c r="AZ585" s="9"/>
      <c r="BA585" s="9"/>
      <c r="BB585" s="9"/>
      <c r="BC585" s="23"/>
      <c r="BG585" s="4" t="s">
        <v>2</v>
      </c>
    </row>
    <row r="586" spans="1:97" x14ac:dyDescent="0.2">
      <c r="A586" s="23"/>
      <c r="B586" s="3"/>
      <c r="C586" s="79"/>
      <c r="G586" s="3"/>
      <c r="H586" s="31"/>
      <c r="I586" s="32"/>
      <c r="J586" s="32">
        <v>3</v>
      </c>
      <c r="K586" s="32"/>
      <c r="L586" s="32"/>
      <c r="M586" s="74">
        <f>+Q597/2</f>
        <v>12.5</v>
      </c>
      <c r="N586" s="74"/>
      <c r="O586" s="32"/>
      <c r="P586" s="32"/>
      <c r="Q586" s="6"/>
      <c r="R586" s="7"/>
      <c r="S586" s="80">
        <f>Q583*K597/(P573-Q583)</f>
        <v>29.542374734237598</v>
      </c>
      <c r="T586" s="81"/>
      <c r="U586" s="74" t="s">
        <v>0</v>
      </c>
      <c r="V586" s="32"/>
      <c r="W586" s="32"/>
      <c r="X586" s="32"/>
      <c r="Y586" s="32">
        <v>11</v>
      </c>
      <c r="Z586" s="32"/>
      <c r="AA586" s="33"/>
      <c r="AB586" s="3"/>
      <c r="AC586" s="3"/>
      <c r="AD586" s="3"/>
      <c r="AE586" s="3"/>
      <c r="AF586" s="3"/>
      <c r="AH586" s="3"/>
      <c r="AI586" s="3"/>
      <c r="AJ586" s="3"/>
      <c r="AK586" s="3"/>
      <c r="AL586" s="3"/>
      <c r="AM586" s="3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23"/>
    </row>
    <row r="587" spans="1:97" x14ac:dyDescent="0.2">
      <c r="A587" s="23"/>
      <c r="B587" s="3"/>
      <c r="C587" s="79"/>
      <c r="D587" s="3"/>
      <c r="E587" s="3"/>
      <c r="F587" s="3"/>
      <c r="G587" s="3"/>
      <c r="H587" s="31"/>
      <c r="I587" s="32"/>
      <c r="J587" s="32"/>
      <c r="K587" s="32"/>
      <c r="L587" s="32"/>
      <c r="M587" s="32"/>
      <c r="N587" s="32"/>
      <c r="O587" s="32"/>
      <c r="P587" s="32"/>
      <c r="Q587" s="8"/>
      <c r="R587" s="10"/>
      <c r="S587" s="80"/>
      <c r="T587" s="81"/>
      <c r="U587" s="74"/>
      <c r="V587" s="32"/>
      <c r="W587" s="32"/>
      <c r="X587" s="32"/>
      <c r="Y587" s="32"/>
      <c r="Z587" s="32"/>
      <c r="AA587" s="3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23"/>
      <c r="BG587" s="1" t="s">
        <v>20</v>
      </c>
    </row>
    <row r="588" spans="1:97" x14ac:dyDescent="0.2">
      <c r="A588" s="23"/>
      <c r="B588" s="3"/>
      <c r="D588" s="3"/>
      <c r="E588" s="3"/>
      <c r="F588" s="3"/>
      <c r="G588" s="3"/>
      <c r="H588" s="31"/>
      <c r="I588" s="32"/>
      <c r="J588" s="32"/>
      <c r="K588" s="32"/>
      <c r="L588" s="32"/>
      <c r="M588" s="32"/>
      <c r="N588" s="32"/>
      <c r="O588" s="32"/>
      <c r="P588" s="32"/>
      <c r="Q588" s="8"/>
      <c r="R588" s="10"/>
      <c r="S588" s="73">
        <f>(N599*SIN((1.5*AT573*360/(2*PI()*N599))*PI()/180))*((N599*COS((1.5*AT573*360/(2*PI()*N599))*PI()/180))+AC590)/((N599*SIN((1.5*AT573*360/(2*PI()*N599))*PI()/180))+2*AM575)-(N599*COS((1.5*AT573*360/(2*PI()*N599))*PI()/180))+M586-S586</f>
        <v>16.489995790374522</v>
      </c>
      <c r="T588" s="74"/>
      <c r="U588" s="74" t="s">
        <v>0</v>
      </c>
      <c r="V588" s="32"/>
      <c r="W588" s="32"/>
      <c r="X588" s="32"/>
      <c r="Y588" s="32"/>
      <c r="Z588" s="32"/>
      <c r="AA588" s="33"/>
      <c r="AB588" s="3"/>
      <c r="AC588" s="79" t="s">
        <v>0</v>
      </c>
      <c r="AD588" s="3"/>
      <c r="AE588" s="79" t="s">
        <v>0</v>
      </c>
      <c r="AF588" s="3"/>
      <c r="AJ588" s="3"/>
      <c r="AK588" s="3"/>
      <c r="AL588" s="3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23"/>
    </row>
    <row r="589" spans="1:97" x14ac:dyDescent="0.2">
      <c r="A589" s="23"/>
      <c r="B589" s="3"/>
      <c r="D589" s="71">
        <f>2*AT573*(I599+N599+AM575*5)/(N599+AM575*5)-D593</f>
        <v>45.323956586436992</v>
      </c>
      <c r="E589" s="71"/>
      <c r="F589" s="3" t="s">
        <v>0</v>
      </c>
      <c r="G589" s="3"/>
      <c r="H589" s="31"/>
      <c r="I589" s="32"/>
      <c r="J589" s="32"/>
      <c r="K589" s="32"/>
      <c r="L589" s="32"/>
      <c r="M589" s="32"/>
      <c r="N589" s="32"/>
      <c r="O589" s="32"/>
      <c r="P589" s="32"/>
      <c r="Q589" s="8"/>
      <c r="R589" s="10"/>
      <c r="S589" s="73"/>
      <c r="T589" s="74"/>
      <c r="U589" s="74"/>
      <c r="V589" s="32"/>
      <c r="W589" s="32"/>
      <c r="X589" s="32"/>
      <c r="Y589" s="32"/>
      <c r="Z589" s="32"/>
      <c r="AA589" s="33"/>
      <c r="AB589" s="3"/>
      <c r="AC589" s="79"/>
      <c r="AD589" s="3"/>
      <c r="AE589" s="79"/>
      <c r="AF589" s="3"/>
      <c r="AJ589" s="3"/>
      <c r="AK589" s="3"/>
      <c r="AL589" s="3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23"/>
    </row>
    <row r="590" spans="1:97" x14ac:dyDescent="0.2">
      <c r="A590" s="23"/>
      <c r="B590" s="3"/>
      <c r="G590" s="3"/>
      <c r="H590" s="31"/>
      <c r="I590" s="32"/>
      <c r="J590" s="32">
        <v>2</v>
      </c>
      <c r="K590" s="32"/>
      <c r="L590" s="32"/>
      <c r="M590" s="32"/>
      <c r="N590" s="32"/>
      <c r="O590" s="32"/>
      <c r="P590" s="32"/>
      <c r="Q590" s="8"/>
      <c r="R590" s="10"/>
      <c r="S590" s="73">
        <f>(N599*SIN((2.5*AT573*360/(2*PI()*N599))*PI()/180))*((N599*COS((2.5*AT573*360/(2*PI()*N599))*PI()/180))+AC590)/((N599*SIN((2.5*AT573*360/(2*PI()*N599))*PI()/180))+3*AM575)-(N599*COS((2.5*AT573*360/(2*PI()*N599))*PI()/180))+M586-S586-S588</f>
        <v>7.0568593219964342</v>
      </c>
      <c r="T590" s="74"/>
      <c r="U590" s="32" t="s">
        <v>0</v>
      </c>
      <c r="V590" s="32"/>
      <c r="W590" s="32"/>
      <c r="X590" s="32"/>
      <c r="Y590" s="32">
        <v>12</v>
      </c>
      <c r="Z590" s="32"/>
      <c r="AA590" s="33"/>
      <c r="AB590" s="3"/>
      <c r="AC590" s="79">
        <f>(6.5*AT573)-(2*PI()*N599*90/360)</f>
        <v>81.117266307370002</v>
      </c>
      <c r="AD590" s="3"/>
      <c r="AE590" s="79">
        <f>+AC590+M586</f>
        <v>93.617266307370002</v>
      </c>
      <c r="AF590" s="3"/>
      <c r="AJ590" s="3"/>
      <c r="AK590" s="3"/>
      <c r="AL590" s="3"/>
      <c r="AM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23"/>
    </row>
    <row r="591" spans="1:97" x14ac:dyDescent="0.2">
      <c r="A591" s="23"/>
      <c r="B591" s="3"/>
      <c r="C591" s="3"/>
      <c r="D591" s="3"/>
      <c r="E591" s="3"/>
      <c r="F591" s="3"/>
      <c r="G591" s="3"/>
      <c r="H591" s="31"/>
      <c r="I591" s="32"/>
      <c r="J591" s="32"/>
      <c r="K591" s="32"/>
      <c r="L591" s="32"/>
      <c r="M591" s="32"/>
      <c r="N591" s="32"/>
      <c r="O591" s="32"/>
      <c r="P591" s="32"/>
      <c r="Q591" s="8"/>
      <c r="R591" s="10"/>
      <c r="S591" s="73">
        <f>(N599*SIN((3.5*AT573*360/(2*PI()*N599))*PI()/180))*((N599*COS((3.5*AT573*360/(2*PI()*N599))*PI()/180))+AC590)/((N599*SIN((3.5*AT573*360/(2*PI()*N599))*PI()/180))+4*AM575)-(N599*COS((3.5*AT573*360/(2*PI()*N599))*PI()/180))+M586-S586-S588-S590</f>
        <v>6.6867097262156818</v>
      </c>
      <c r="T591" s="74"/>
      <c r="U591" s="32" t="s">
        <v>0</v>
      </c>
      <c r="V591" s="32"/>
      <c r="W591" s="32"/>
      <c r="X591" s="32"/>
      <c r="Y591" s="32"/>
      <c r="Z591" s="32"/>
      <c r="AA591" s="33"/>
      <c r="AB591" s="3"/>
      <c r="AC591" s="79"/>
      <c r="AD591" s="3"/>
      <c r="AE591" s="79"/>
      <c r="AF591" s="3"/>
      <c r="AJ591" s="3"/>
      <c r="AK591" s="3"/>
      <c r="AL591" s="3"/>
      <c r="AM591" s="9"/>
      <c r="AT591" s="9"/>
      <c r="AU591" s="9"/>
      <c r="AV591" s="9"/>
      <c r="AW591" s="9"/>
      <c r="AX591" s="9"/>
      <c r="AY591" s="9"/>
      <c r="AZ591" s="9"/>
      <c r="BA591" s="9"/>
      <c r="BB591" s="9"/>
      <c r="BC591" s="23"/>
    </row>
    <row r="592" spans="1:97" x14ac:dyDescent="0.2">
      <c r="A592" s="23"/>
      <c r="B592" s="3"/>
      <c r="C592" s="3"/>
      <c r="G592" s="3"/>
      <c r="H592" s="31"/>
      <c r="I592" s="32"/>
      <c r="J592" s="32"/>
      <c r="K592" s="32"/>
      <c r="L592" s="32"/>
      <c r="M592" s="32"/>
      <c r="N592" s="32"/>
      <c r="O592" s="32"/>
      <c r="P592" s="32"/>
      <c r="Q592" s="8"/>
      <c r="R592" s="10"/>
      <c r="S592" s="73">
        <f>+AC590+M586-S586-S588-S590-S591-S593-S595</f>
        <v>8.1682013101148225</v>
      </c>
      <c r="T592" s="74"/>
      <c r="U592" s="32" t="s">
        <v>0</v>
      </c>
      <c r="V592" s="32"/>
      <c r="W592" s="32"/>
      <c r="X592" s="32"/>
      <c r="Y592" s="32"/>
      <c r="Z592" s="32"/>
      <c r="AA592" s="33"/>
      <c r="AB592" s="3"/>
      <c r="AC592" s="79"/>
      <c r="AD592" s="3"/>
      <c r="AE592" s="79"/>
      <c r="AF592" s="3"/>
      <c r="AJ592" s="3"/>
      <c r="AK592" s="3"/>
      <c r="AL592" s="3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23"/>
    </row>
    <row r="593" spans="1:87" x14ac:dyDescent="0.2">
      <c r="A593" s="23"/>
      <c r="B593" s="3"/>
      <c r="C593" s="3"/>
      <c r="D593" s="71">
        <f>1*AT573*(I599+N599+AM575*6)/(N599+AM575*6)</f>
        <v>43.084491338171887</v>
      </c>
      <c r="E593" s="71"/>
      <c r="F593" s="3" t="s">
        <v>0</v>
      </c>
      <c r="G593" s="3"/>
      <c r="H593" s="31"/>
      <c r="I593" s="32"/>
      <c r="J593" s="32">
        <v>1</v>
      </c>
      <c r="K593" s="32"/>
      <c r="L593" s="32"/>
      <c r="M593" s="32"/>
      <c r="N593" s="32"/>
      <c r="O593" s="32"/>
      <c r="P593" s="32"/>
      <c r="Q593" s="8"/>
      <c r="R593" s="10"/>
      <c r="S593" s="73">
        <f>2*AT573-((+D595+D593+D589)-2*AT573)*N599/I599-S595</f>
        <v>11.483552458055305</v>
      </c>
      <c r="T593" s="74"/>
      <c r="U593" s="74" t="s">
        <v>0</v>
      </c>
      <c r="V593" s="32"/>
      <c r="W593" s="32"/>
      <c r="X593" s="32"/>
      <c r="Y593" s="32">
        <v>13</v>
      </c>
      <c r="Z593" s="32"/>
      <c r="AA593" s="33"/>
      <c r="AB593" s="3"/>
      <c r="AF593" s="3"/>
      <c r="AG593" s="3"/>
      <c r="AH593" s="3"/>
      <c r="AI593" s="3"/>
      <c r="AJ593" s="3"/>
      <c r="AK593" s="3"/>
      <c r="AL593" s="3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23"/>
    </row>
    <row r="594" spans="1:87" x14ac:dyDescent="0.2">
      <c r="A594" s="23"/>
      <c r="B594" s="3"/>
      <c r="C594" s="3"/>
      <c r="D594" s="3"/>
      <c r="E594" s="3"/>
      <c r="F594" s="3"/>
      <c r="G594" s="3"/>
      <c r="H594" s="31"/>
      <c r="I594" s="32"/>
      <c r="J594" s="32"/>
      <c r="K594" s="32"/>
      <c r="L594" s="32"/>
      <c r="M594" s="32"/>
      <c r="N594" s="32"/>
      <c r="O594" s="32"/>
      <c r="P594" s="32"/>
      <c r="Q594" s="8"/>
      <c r="R594" s="10"/>
      <c r="S594" s="73"/>
      <c r="T594" s="74"/>
      <c r="U594" s="74"/>
      <c r="V594" s="32"/>
      <c r="W594" s="32"/>
      <c r="X594" s="32"/>
      <c r="Y594" s="32"/>
      <c r="Z594" s="32"/>
      <c r="AA594" s="33"/>
      <c r="AB594" s="3"/>
      <c r="AD594" s="3"/>
      <c r="AE594" s="3"/>
      <c r="AF594" s="3"/>
      <c r="AG594" s="3"/>
      <c r="AH594" s="3"/>
      <c r="AI594" s="3"/>
      <c r="AJ594" s="3"/>
      <c r="AK594" s="3"/>
      <c r="AL594" s="3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23"/>
    </row>
    <row r="595" spans="1:87" x14ac:dyDescent="0.2">
      <c r="A595" s="23"/>
      <c r="B595" s="3"/>
      <c r="C595" s="3"/>
      <c r="D595" s="3"/>
      <c r="E595" s="3"/>
      <c r="F595" s="3"/>
      <c r="G595" s="3"/>
      <c r="H595" s="35"/>
      <c r="I595" s="36"/>
      <c r="J595" s="36"/>
      <c r="K595" s="36"/>
      <c r="L595" s="36"/>
      <c r="M595" s="36"/>
      <c r="N595" s="36"/>
      <c r="O595" s="36"/>
      <c r="P595" s="36"/>
      <c r="Q595" s="11"/>
      <c r="R595" s="12"/>
      <c r="S595" s="75">
        <f>1*AT573-((+D595+D593)-1*AT573)*N599/I599</f>
        <v>14.189572966375637</v>
      </c>
      <c r="T595" s="76"/>
      <c r="U595" s="36" t="s">
        <v>0</v>
      </c>
      <c r="V595" s="36"/>
      <c r="W595" s="36"/>
      <c r="X595" s="36"/>
      <c r="Y595" s="36"/>
      <c r="Z595" s="36"/>
      <c r="AA595" s="37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5"/>
    </row>
    <row r="596" spans="1:87" x14ac:dyDescent="0.2">
      <c r="A596" s="2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X596" s="3"/>
      <c r="AY596" s="3"/>
      <c r="AZ596" s="3"/>
      <c r="BA596" s="3"/>
      <c r="BB596" s="3"/>
      <c r="BC596" s="5"/>
    </row>
    <row r="597" spans="1:87" x14ac:dyDescent="0.2">
      <c r="A597" s="23"/>
      <c r="B597" s="3"/>
      <c r="C597" s="3"/>
      <c r="D597" s="3"/>
      <c r="E597" s="3"/>
      <c r="F597" s="3"/>
      <c r="G597" s="3"/>
      <c r="H597" s="3"/>
      <c r="I597" s="3"/>
      <c r="J597" s="3"/>
      <c r="K597" s="78">
        <v>120</v>
      </c>
      <c r="L597" s="78"/>
      <c r="M597" s="3" t="s">
        <v>0</v>
      </c>
      <c r="N597" s="3"/>
      <c r="O597" s="3"/>
      <c r="P597" s="3"/>
      <c r="Q597" s="78">
        <v>25</v>
      </c>
      <c r="R597" s="78"/>
      <c r="S597" s="3" t="s">
        <v>0</v>
      </c>
      <c r="T597" s="3"/>
      <c r="U597" s="3"/>
      <c r="V597" s="71">
        <f>+K597</f>
        <v>120</v>
      </c>
      <c r="W597" s="71"/>
      <c r="X597" s="3" t="s">
        <v>0</v>
      </c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J597" s="1" t="s">
        <v>9</v>
      </c>
      <c r="AL597" s="77">
        <f>+AT573</f>
        <v>30</v>
      </c>
      <c r="AM597" s="77"/>
      <c r="AN597" s="1" t="s">
        <v>0</v>
      </c>
      <c r="AX597" s="3"/>
      <c r="AY597" s="3"/>
      <c r="AZ597" s="3"/>
      <c r="BA597" s="3"/>
      <c r="BB597" s="3"/>
      <c r="BC597" s="5"/>
    </row>
    <row r="598" spans="1:87" x14ac:dyDescent="0.2">
      <c r="A598" s="2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X598" s="3"/>
      <c r="AY598" s="3"/>
      <c r="AZ598" s="3"/>
      <c r="BA598" s="3"/>
      <c r="BB598" s="3"/>
      <c r="BC598" s="5"/>
    </row>
    <row r="599" spans="1:87" x14ac:dyDescent="0.2">
      <c r="A599" s="23"/>
      <c r="B599" s="3"/>
      <c r="C599" s="3"/>
      <c r="D599" s="3"/>
      <c r="E599" s="3"/>
      <c r="F599" s="3"/>
      <c r="G599" s="3"/>
      <c r="H599" s="3"/>
      <c r="I599" s="71">
        <f>+K597/2</f>
        <v>60</v>
      </c>
      <c r="J599" s="71"/>
      <c r="K599" s="3" t="s">
        <v>0</v>
      </c>
      <c r="L599" s="3"/>
      <c r="M599" s="3"/>
      <c r="N599" s="71">
        <f>+K597/2+Q597/2</f>
        <v>72.5</v>
      </c>
      <c r="O599" s="71"/>
      <c r="P599" s="3" t="s">
        <v>0</v>
      </c>
      <c r="Q599" s="3"/>
      <c r="R599" s="3"/>
      <c r="S599" s="3"/>
      <c r="T599" s="71">
        <f>+V597/2+Q597/2</f>
        <v>72.5</v>
      </c>
      <c r="U599" s="71"/>
      <c r="V599" s="3" t="s">
        <v>0</v>
      </c>
      <c r="W599" s="3"/>
      <c r="X599" s="3"/>
      <c r="Y599" s="71">
        <f>+V597/2</f>
        <v>60</v>
      </c>
      <c r="Z599" s="71"/>
      <c r="AA599" s="3" t="s">
        <v>0</v>
      </c>
      <c r="AB599" s="3"/>
      <c r="AC599" s="3"/>
      <c r="AD599" s="3"/>
      <c r="AE599" s="3"/>
      <c r="AF599" s="3"/>
      <c r="AG599" s="3"/>
      <c r="AH599" s="3"/>
      <c r="AX599" s="3"/>
      <c r="AY599" s="3"/>
      <c r="AZ599" s="3"/>
      <c r="BA599" s="3"/>
      <c r="BB599" s="3"/>
      <c r="BC599" s="5"/>
    </row>
    <row r="600" spans="1:87" x14ac:dyDescent="0.2">
      <c r="A600" s="2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X600" s="3"/>
      <c r="AY600" s="3"/>
      <c r="AZ600" s="3"/>
      <c r="BA600" s="3"/>
      <c r="BB600" s="3"/>
      <c r="BC600" s="5"/>
    </row>
    <row r="601" spans="1:87" x14ac:dyDescent="0.2">
      <c r="A601" s="23"/>
      <c r="B601" s="3"/>
      <c r="C601" s="3"/>
      <c r="D601" s="3"/>
      <c r="E601" s="3"/>
      <c r="F601" s="3"/>
      <c r="G601" s="3"/>
      <c r="H601" s="3"/>
      <c r="I601" s="3"/>
      <c r="J601" s="3"/>
      <c r="K601" s="72">
        <f>+K597+Q597/2</f>
        <v>132.5</v>
      </c>
      <c r="L601" s="72"/>
      <c r="M601" s="72"/>
      <c r="N601" s="3" t="s">
        <v>0</v>
      </c>
      <c r="O601" s="3"/>
      <c r="P601" s="3"/>
      <c r="Q601" s="3"/>
      <c r="R601" s="3"/>
      <c r="S601" s="3"/>
      <c r="T601" s="3"/>
      <c r="U601" s="71">
        <f>+K601</f>
        <v>132.5</v>
      </c>
      <c r="V601" s="71"/>
      <c r="W601" s="71"/>
      <c r="X601" s="3" t="s">
        <v>0</v>
      </c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 t="s">
        <v>21</v>
      </c>
      <c r="AP601" s="26"/>
      <c r="AQ601" s="26"/>
      <c r="AR601" s="25"/>
      <c r="AX601" s="3"/>
      <c r="AY601" s="3"/>
      <c r="AZ601" s="3"/>
      <c r="BA601" s="3"/>
      <c r="BB601" s="3"/>
      <c r="BC601" s="5"/>
    </row>
    <row r="602" spans="1:87" x14ac:dyDescent="0.2">
      <c r="A602" s="2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X602" s="3"/>
      <c r="AY602" s="3"/>
      <c r="AZ602" s="3"/>
      <c r="BA602" s="3"/>
      <c r="BB602" s="3"/>
      <c r="BC602" s="5"/>
    </row>
    <row r="603" spans="1:87" x14ac:dyDescent="0.2">
      <c r="A603" s="2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71">
        <f>+K597+Q597+V597</f>
        <v>265</v>
      </c>
      <c r="R603" s="71"/>
      <c r="S603" s="3" t="s">
        <v>0</v>
      </c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U603" s="3"/>
      <c r="AV603" s="3"/>
      <c r="AW603" s="3"/>
      <c r="AX603" s="3"/>
      <c r="AY603" s="3"/>
      <c r="AZ603" s="3"/>
      <c r="BA603" s="3"/>
      <c r="BB603" s="3"/>
      <c r="BC603" s="5"/>
    </row>
    <row r="604" spans="1:87" ht="12" thickBot="1" x14ac:dyDescent="0.25">
      <c r="A604" s="23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5"/>
    </row>
    <row r="605" spans="1:87" ht="12" thickBot="1" x14ac:dyDescent="0.25"/>
    <row r="606" spans="1:87" ht="48.75" customHeight="1" x14ac:dyDescent="0.2">
      <c r="A606" s="18"/>
      <c r="B606" s="89" t="s">
        <v>24</v>
      </c>
      <c r="C606" s="85"/>
      <c r="D606" s="85"/>
      <c r="E606" s="8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  <c r="U606" s="85"/>
      <c r="V606" s="85"/>
      <c r="W606" s="85"/>
      <c r="X606" s="85"/>
      <c r="Y606" s="85"/>
      <c r="Z606" s="85"/>
      <c r="AA606" s="85"/>
      <c r="AB606" s="85"/>
      <c r="AC606" s="85"/>
      <c r="AD606" s="85"/>
      <c r="AE606" s="85"/>
      <c r="AF606" s="85"/>
      <c r="AG606" s="85"/>
      <c r="AH606" s="85"/>
      <c r="AI606" s="85"/>
      <c r="AJ606" s="85"/>
      <c r="AK606" s="85"/>
      <c r="AL606" s="85"/>
      <c r="AM606" s="85"/>
      <c r="AN606" s="85"/>
      <c r="AO606" s="85"/>
      <c r="AP606" s="85"/>
      <c r="AQ606" s="85"/>
      <c r="AR606" s="85"/>
      <c r="AS606" s="85"/>
      <c r="AT606" s="85"/>
      <c r="AU606" s="85"/>
      <c r="AV606" s="85"/>
      <c r="AW606" s="85"/>
      <c r="AX606" s="85"/>
      <c r="AY606" s="85"/>
      <c r="AZ606" s="85"/>
      <c r="BA606" s="85"/>
      <c r="BB606" s="85"/>
      <c r="BC606" s="86"/>
      <c r="BD606" s="17"/>
      <c r="BE606" s="17"/>
      <c r="BF606" s="17"/>
      <c r="BG606" s="17"/>
      <c r="BH606" s="17"/>
      <c r="BI606" s="17"/>
      <c r="BJ606" s="17"/>
      <c r="BK606" s="17"/>
      <c r="BL606" s="17"/>
      <c r="BM606" s="17"/>
      <c r="BN606" s="17"/>
      <c r="BO606" s="17"/>
      <c r="BP606" s="17"/>
      <c r="BQ606" s="17"/>
      <c r="BR606" s="17"/>
      <c r="BS606" s="17"/>
      <c r="BT606" s="17"/>
      <c r="BU606" s="17"/>
      <c r="BV606" s="17"/>
      <c r="BW606" s="17"/>
      <c r="BX606" s="17"/>
      <c r="BY606" s="17"/>
      <c r="BZ606" s="17"/>
      <c r="CA606" s="17"/>
      <c r="CB606" s="17"/>
      <c r="CC606" s="17"/>
      <c r="CD606" s="17"/>
      <c r="CE606" s="17"/>
      <c r="CF606" s="17"/>
      <c r="CG606" s="17"/>
      <c r="CH606" s="17"/>
      <c r="CI606" s="17"/>
    </row>
    <row r="607" spans="1:87" x14ac:dyDescent="0.2">
      <c r="A607" s="5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16" t="s">
        <v>5</v>
      </c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18"/>
      <c r="BD607" s="17"/>
      <c r="BE607" s="17"/>
      <c r="BF607" s="17"/>
      <c r="BG607" s="17"/>
      <c r="BH607" s="17"/>
      <c r="BI607" s="17"/>
      <c r="BJ607" s="17"/>
      <c r="BK607" s="17"/>
      <c r="BL607" s="17"/>
      <c r="BM607" s="17"/>
      <c r="BN607" s="17"/>
      <c r="BO607" s="17"/>
      <c r="BP607" s="17"/>
      <c r="BQ607" s="17"/>
      <c r="BR607" s="17"/>
      <c r="BS607" s="17"/>
      <c r="BT607" s="17"/>
      <c r="BU607" s="17"/>
      <c r="BV607" s="17"/>
      <c r="BW607" s="17"/>
      <c r="BX607" s="17"/>
      <c r="BY607" s="17"/>
      <c r="BZ607" s="17"/>
      <c r="CA607" s="17"/>
      <c r="CB607" s="17"/>
      <c r="CC607" s="17"/>
      <c r="CD607" s="17"/>
      <c r="CE607" s="17"/>
      <c r="CF607" s="17"/>
      <c r="CG607" s="17"/>
      <c r="CH607" s="17"/>
      <c r="CI607" s="17"/>
    </row>
    <row r="608" spans="1:87" x14ac:dyDescent="0.2">
      <c r="A608" s="5"/>
      <c r="B608" s="2"/>
      <c r="C608" s="3"/>
      <c r="D608" s="3"/>
      <c r="E608" s="3"/>
      <c r="F608" s="3"/>
      <c r="G608" s="3"/>
      <c r="H608" s="3"/>
      <c r="I608" s="3"/>
      <c r="J608" s="3"/>
      <c r="K608" s="71">
        <f>+K636</f>
        <v>132.5</v>
      </c>
      <c r="L608" s="71"/>
      <c r="M608" s="71"/>
      <c r="N608" s="3" t="s">
        <v>0</v>
      </c>
      <c r="O608" s="3"/>
      <c r="P608" s="3"/>
      <c r="Q608" s="3"/>
      <c r="R608" s="3"/>
      <c r="S608" s="3"/>
      <c r="T608" s="3"/>
      <c r="U608" s="71">
        <f>+K608</f>
        <v>132.5</v>
      </c>
      <c r="V608" s="71"/>
      <c r="W608" s="71"/>
      <c r="X608" s="3" t="s">
        <v>0</v>
      </c>
      <c r="Y608" s="3"/>
      <c r="Z608" s="16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5"/>
    </row>
    <row r="609" spans="1:99" x14ac:dyDescent="0.2">
      <c r="A609" s="5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E609" s="3"/>
      <c r="AF609" s="3"/>
      <c r="AG609" s="3"/>
      <c r="AH609" s="3" t="s">
        <v>1</v>
      </c>
      <c r="AI609" s="3"/>
      <c r="AJ609" s="3"/>
      <c r="AK609" s="3"/>
      <c r="AL609" s="3"/>
      <c r="AM609" s="3"/>
      <c r="AN609" s="3"/>
      <c r="AO609" s="78">
        <v>30</v>
      </c>
      <c r="AP609" s="78"/>
      <c r="AQ609" s="3" t="s">
        <v>0</v>
      </c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5"/>
    </row>
    <row r="610" spans="1:99" x14ac:dyDescent="0.2">
      <c r="A610" s="5"/>
      <c r="B610" s="2"/>
      <c r="C610" s="3"/>
      <c r="D610" s="3"/>
      <c r="E610" s="3"/>
      <c r="F610" s="3"/>
      <c r="G610" s="3"/>
      <c r="H610" s="71">
        <f>+K608-K610-O610</f>
        <v>14.444660975898984</v>
      </c>
      <c r="I610" s="71"/>
      <c r="J610" s="3" t="s">
        <v>0</v>
      </c>
      <c r="K610" s="71">
        <f>(N634*SIN((2*AO609*360/(2*PI()*N634))*PI()/180))*((AC618-(N634*COS((2*AO609*360/(2*PI()*N634))*PI()/180)))+((N634*COS((2*AO609*360/(2*PI()*N634))*PI()/180))-M623+S623+S625))/((N634*COS((2*AO609*360/(2*PI()*N634))*PI()/180))-M623+S623+S625)-O610</f>
        <v>65.403307239894986</v>
      </c>
      <c r="L610" s="71"/>
      <c r="M610" s="3" t="s">
        <v>0</v>
      </c>
      <c r="N610" s="3"/>
      <c r="O610" s="72">
        <f>((N634*SIN((AO609*360/(2*PI()*N634))*PI()/180))-Q620)/((N634*COS((AO609*360/(2*PI()*N634))*PI()/180))-M623)*(I634+N634-(N634*COS((AO609*360/(2*PI()*N634))*PI()/180)))+(N634*SIN((AO609*360/(2*PI()*N634))*PI()/180))</f>
        <v>52.652031784206031</v>
      </c>
      <c r="P610" s="72"/>
      <c r="Q610" s="3" t="s">
        <v>0</v>
      </c>
      <c r="R610" s="3"/>
      <c r="S610" s="71">
        <f>+O610</f>
        <v>52.652031784206031</v>
      </c>
      <c r="T610" s="71"/>
      <c r="U610" s="3" t="s">
        <v>0</v>
      </c>
      <c r="V610" s="71">
        <f>+K610</f>
        <v>65.403307239894986</v>
      </c>
      <c r="W610" s="71"/>
      <c r="X610" s="3" t="s">
        <v>0</v>
      </c>
      <c r="Z610" s="71">
        <f>+H610</f>
        <v>14.444660975898984</v>
      </c>
      <c r="AA610" s="71"/>
      <c r="AB610" s="3" t="s">
        <v>0</v>
      </c>
      <c r="AC610" s="3"/>
      <c r="AD610" s="3"/>
      <c r="AE610" s="3"/>
      <c r="AF610" s="3"/>
      <c r="AG610" s="3"/>
      <c r="AH610" s="3" t="s">
        <v>3</v>
      </c>
      <c r="AI610" s="3"/>
      <c r="AJ610" s="3"/>
      <c r="AK610" s="3"/>
      <c r="AL610" s="3"/>
      <c r="AM610" s="3"/>
      <c r="AN610" s="9">
        <v>12</v>
      </c>
      <c r="AO610" s="3" t="s">
        <v>4</v>
      </c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5"/>
      <c r="BG610" s="27" t="s">
        <v>22</v>
      </c>
      <c r="CS610" s="3"/>
      <c r="CT610" s="3"/>
      <c r="CU610" s="3"/>
    </row>
    <row r="611" spans="1:99" x14ac:dyDescent="0.2">
      <c r="A611" s="5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82">
        <f>O610*(AC626+M623-S623)/(AC618-M623+S623)</f>
        <v>17.94321784441113</v>
      </c>
      <c r="AI611" s="82"/>
      <c r="AJ611" s="82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5"/>
      <c r="BG611" s="3" t="s">
        <v>18</v>
      </c>
      <c r="BH611" s="3"/>
      <c r="BI611" s="3"/>
      <c r="BJ611" s="3"/>
      <c r="BK611" s="3"/>
      <c r="BL611" s="78">
        <v>2</v>
      </c>
      <c r="BM611" s="78"/>
      <c r="BN611" s="3" t="s">
        <v>10</v>
      </c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CS611" s="3"/>
      <c r="CT611" s="3"/>
      <c r="CU611" s="3"/>
    </row>
    <row r="612" spans="1:99" x14ac:dyDescent="0.2">
      <c r="A612" s="5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5"/>
      <c r="BG612" s="21" t="s">
        <v>6</v>
      </c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CS612" s="3"/>
      <c r="CT612" s="3"/>
      <c r="CU612" s="3"/>
    </row>
    <row r="613" spans="1:99" x14ac:dyDescent="0.2">
      <c r="A613" s="5"/>
      <c r="B613" s="2"/>
      <c r="C613" s="3"/>
      <c r="D613" s="3"/>
      <c r="E613" s="3"/>
      <c r="F613" s="3"/>
      <c r="G613" s="3"/>
      <c r="H613" s="28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30"/>
      <c r="AB613" s="3"/>
      <c r="AC613" s="3"/>
      <c r="AD613" s="3"/>
      <c r="AE613" s="3"/>
      <c r="AF613" s="3"/>
      <c r="AG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5"/>
      <c r="BG613" s="3" t="s">
        <v>7</v>
      </c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CS613" s="3"/>
      <c r="CT613" s="3"/>
      <c r="CU613" s="3"/>
    </row>
    <row r="614" spans="1:99" x14ac:dyDescent="0.2">
      <c r="A614" s="5"/>
      <c r="B614" s="2"/>
      <c r="C614" s="3"/>
      <c r="D614" s="71">
        <f>+C621-D618-D623-D628-D630</f>
        <v>62.299133799180247</v>
      </c>
      <c r="E614" s="71"/>
      <c r="F614" s="3" t="s">
        <v>0</v>
      </c>
      <c r="G614" s="3"/>
      <c r="H614" s="31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3"/>
      <c r="AB614" s="3"/>
      <c r="AC614" s="3"/>
      <c r="AD614" s="3"/>
      <c r="AE614" s="3"/>
      <c r="AF614" s="3"/>
      <c r="AG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5"/>
      <c r="BG614" s="3" t="s">
        <v>8</v>
      </c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CS614" s="3"/>
      <c r="CT614" s="3"/>
      <c r="CU614" s="3"/>
    </row>
    <row r="615" spans="1:99" x14ac:dyDescent="0.2">
      <c r="A615" s="5"/>
      <c r="B615" s="2"/>
      <c r="C615" s="3"/>
      <c r="D615" s="3"/>
      <c r="E615" s="3"/>
      <c r="F615" s="3"/>
      <c r="G615" s="3"/>
      <c r="H615" s="31"/>
      <c r="I615" s="32"/>
      <c r="J615" s="32"/>
      <c r="K615" s="32"/>
      <c r="L615" s="32"/>
      <c r="M615" s="32"/>
      <c r="N615" s="32"/>
      <c r="O615" s="32"/>
      <c r="P615" s="32">
        <v>6</v>
      </c>
      <c r="Q615" s="32"/>
      <c r="R615" s="32"/>
      <c r="S615" s="32">
        <v>7</v>
      </c>
      <c r="T615" s="32"/>
      <c r="U615" s="32"/>
      <c r="V615" s="32">
        <v>8</v>
      </c>
      <c r="W615" s="32"/>
      <c r="X615" s="32"/>
      <c r="Y615" s="32"/>
      <c r="Z615" s="32"/>
      <c r="AA615" s="33"/>
      <c r="AB615" s="3"/>
      <c r="AC615" s="3"/>
      <c r="AD615" s="3"/>
      <c r="AE615" s="3"/>
      <c r="AF615" s="3"/>
      <c r="AG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5"/>
      <c r="BG615" s="3" t="s">
        <v>9</v>
      </c>
      <c r="BH615" s="3"/>
      <c r="BI615" s="71">
        <f>0.63-2*BI616</f>
        <v>0.29666666666666669</v>
      </c>
      <c r="BJ615" s="71"/>
      <c r="BK615" s="71"/>
      <c r="BL615" s="3" t="s">
        <v>10</v>
      </c>
      <c r="BM615" s="3" t="s">
        <v>11</v>
      </c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CQ615" s="3"/>
      <c r="CR615" s="3"/>
      <c r="CS615" s="3"/>
      <c r="CT615" s="3"/>
      <c r="CU615" s="3"/>
    </row>
    <row r="616" spans="1:99" x14ac:dyDescent="0.2">
      <c r="A616" s="5"/>
      <c r="B616" s="2"/>
      <c r="C616" s="3"/>
      <c r="D616" s="3"/>
      <c r="E616" s="3"/>
      <c r="F616" s="3"/>
      <c r="G616" s="3"/>
      <c r="H616" s="31"/>
      <c r="I616" s="32"/>
      <c r="J616" s="32"/>
      <c r="K616" s="32"/>
      <c r="L616" s="32"/>
      <c r="M616" s="32">
        <v>5</v>
      </c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3"/>
      <c r="AB616" s="3"/>
      <c r="AC616" s="79" t="s">
        <v>0</v>
      </c>
      <c r="AD616" s="3"/>
      <c r="AE616" s="79" t="s">
        <v>0</v>
      </c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5"/>
      <c r="BG616" s="3" t="s">
        <v>12</v>
      </c>
      <c r="BH616" s="3"/>
      <c r="BI616" s="71">
        <f>BL611/BL617</f>
        <v>0.16666666666666666</v>
      </c>
      <c r="BJ616" s="71"/>
      <c r="BK616" s="71"/>
      <c r="BL616" s="3" t="s">
        <v>10</v>
      </c>
      <c r="BM616" s="3" t="s">
        <v>13</v>
      </c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CE616" s="3"/>
      <c r="CR616" s="3"/>
      <c r="CS616" s="3"/>
      <c r="CT616" s="3"/>
      <c r="CU616" s="3"/>
    </row>
    <row r="617" spans="1:99" x14ac:dyDescent="0.2">
      <c r="A617" s="5"/>
      <c r="B617" s="2"/>
      <c r="C617" s="3"/>
      <c r="D617" s="3"/>
      <c r="E617" s="3"/>
      <c r="F617" s="3"/>
      <c r="G617" s="3"/>
      <c r="H617" s="31"/>
      <c r="I617" s="32"/>
      <c r="J617" s="32"/>
      <c r="K617" s="32">
        <v>4</v>
      </c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>
        <v>9</v>
      </c>
      <c r="Y617" s="32"/>
      <c r="Z617" s="32"/>
      <c r="AA617" s="33"/>
      <c r="AB617" s="3"/>
      <c r="AC617" s="79"/>
      <c r="AD617" s="3"/>
      <c r="AE617" s="79"/>
      <c r="AF617" s="3"/>
      <c r="AG617" s="3"/>
      <c r="AH617" s="3"/>
      <c r="AI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5"/>
      <c r="BG617" s="3" t="s">
        <v>14</v>
      </c>
      <c r="BH617" s="3"/>
      <c r="BI617" s="3"/>
      <c r="BJ617" s="3"/>
      <c r="BK617" s="3"/>
      <c r="BL617" s="72">
        <v>12</v>
      </c>
      <c r="BM617" s="72"/>
      <c r="BN617" s="3" t="s">
        <v>4</v>
      </c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CE617" s="3"/>
      <c r="CR617" s="3"/>
      <c r="CS617" s="3"/>
      <c r="CT617" s="3"/>
      <c r="CU617" s="3"/>
    </row>
    <row r="618" spans="1:99" x14ac:dyDescent="0.2">
      <c r="A618" s="5"/>
      <c r="B618" s="2"/>
      <c r="C618" s="3"/>
      <c r="D618" s="71">
        <f>((S628+S629+S630)*(K636+3*AH611)/(3*AH611))-((S629+S630)*(K636+4*AH611)/(4*AH611))</f>
        <v>51.365416411088319</v>
      </c>
      <c r="E618" s="71"/>
      <c r="F618" s="3" t="s">
        <v>0</v>
      </c>
      <c r="G618" s="3"/>
      <c r="H618" s="31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3"/>
      <c r="AB618" s="3"/>
      <c r="AC618" s="79">
        <f>+K632+Q632/2</f>
        <v>132.5</v>
      </c>
      <c r="AD618" s="3"/>
      <c r="AE618" s="79">
        <f>+C621-AE626</f>
        <v>120.00000000000001</v>
      </c>
      <c r="AF618" s="3"/>
      <c r="AG618" s="3"/>
      <c r="AH618" s="3"/>
      <c r="AI618" s="3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23"/>
      <c r="BG618" s="3">
        <v>2</v>
      </c>
      <c r="BH618" s="45" t="s">
        <v>15</v>
      </c>
      <c r="BI618" s="71">
        <f>+BI616</f>
        <v>0.16666666666666666</v>
      </c>
      <c r="BJ618" s="71"/>
      <c r="BK618" s="71"/>
      <c r="BL618" s="45" t="s">
        <v>16</v>
      </c>
      <c r="BM618" s="71">
        <f>+BI615</f>
        <v>0.29666666666666669</v>
      </c>
      <c r="BN618" s="71"/>
      <c r="BO618" s="71"/>
      <c r="BP618" s="45" t="s">
        <v>17</v>
      </c>
      <c r="BQ618" s="71">
        <f>+BG618*BI618+BM618</f>
        <v>0.63</v>
      </c>
      <c r="BR618" s="71"/>
      <c r="BS618" s="71"/>
      <c r="BT618" s="3" t="s">
        <v>10</v>
      </c>
      <c r="BU618" s="3"/>
      <c r="BV618" s="16" t="str">
        <f>IF(BQ618=0.63,"uygun.","uygun değil.")</f>
        <v>uygun.</v>
      </c>
      <c r="BW618" s="3"/>
      <c r="BX618" s="3"/>
      <c r="BY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  <c r="CU618" s="3"/>
    </row>
    <row r="619" spans="1:99" x14ac:dyDescent="0.2">
      <c r="A619" s="5"/>
      <c r="B619" s="2"/>
      <c r="C619" s="79" t="s">
        <v>0</v>
      </c>
      <c r="D619" s="3"/>
      <c r="E619" s="3"/>
      <c r="F619" s="3"/>
      <c r="G619" s="3"/>
      <c r="H619" s="31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3"/>
      <c r="AB619" s="3"/>
      <c r="AC619" s="79"/>
      <c r="AD619" s="3"/>
      <c r="AE619" s="79"/>
      <c r="AF619" s="3"/>
      <c r="AG619" s="3"/>
      <c r="AH619" s="3"/>
      <c r="AI619" s="3"/>
      <c r="AK619" s="3"/>
      <c r="AL619" s="3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23"/>
    </row>
    <row r="620" spans="1:99" x14ac:dyDescent="0.2">
      <c r="A620" s="5"/>
      <c r="B620" s="2"/>
      <c r="C620" s="79"/>
      <c r="D620" s="3"/>
      <c r="E620" s="3"/>
      <c r="F620" s="3"/>
      <c r="G620" s="3"/>
      <c r="H620" s="31"/>
      <c r="I620" s="32"/>
      <c r="J620" s="32"/>
      <c r="K620" s="32"/>
      <c r="L620" s="32"/>
      <c r="M620" s="32"/>
      <c r="N620" s="32"/>
      <c r="O620" s="32"/>
      <c r="P620" s="32"/>
      <c r="Q620" s="20">
        <v>10</v>
      </c>
      <c r="R620" s="32" t="s">
        <v>0</v>
      </c>
      <c r="S620" s="32"/>
      <c r="T620" s="32"/>
      <c r="U620" s="32"/>
      <c r="V620" s="32"/>
      <c r="W620" s="32"/>
      <c r="X620" s="32"/>
      <c r="Y620" s="32"/>
      <c r="Z620" s="32"/>
      <c r="AA620" s="33"/>
      <c r="AB620" s="3"/>
      <c r="AC620" s="79"/>
      <c r="AD620" s="3"/>
      <c r="AE620" s="79"/>
      <c r="AF620" s="3"/>
      <c r="AG620" s="3"/>
      <c r="AH620" s="3"/>
      <c r="AI620" s="3"/>
      <c r="AK620" s="3"/>
      <c r="AL620" s="3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23"/>
    </row>
    <row r="621" spans="1:99" x14ac:dyDescent="0.2">
      <c r="A621" s="5"/>
      <c r="B621" s="2"/>
      <c r="C621" s="79">
        <f>+AC618+AC626</f>
        <v>198.61726630737002</v>
      </c>
      <c r="D621" s="3"/>
      <c r="E621" s="3"/>
      <c r="F621" s="3"/>
      <c r="G621" s="3"/>
      <c r="H621" s="31"/>
      <c r="I621" s="32"/>
      <c r="J621" s="32">
        <v>3</v>
      </c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>
        <v>10</v>
      </c>
      <c r="Z621" s="32"/>
      <c r="AA621" s="33"/>
      <c r="AB621" s="3"/>
      <c r="AC621" s="3"/>
      <c r="AD621" s="3"/>
      <c r="AE621" s="3"/>
      <c r="AF621" s="3"/>
      <c r="AG621" s="3"/>
      <c r="AH621" s="3"/>
      <c r="AI621" s="3"/>
      <c r="AK621" s="3"/>
      <c r="AL621" s="3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23"/>
      <c r="BG621" s="1" t="s">
        <v>19</v>
      </c>
    </row>
    <row r="622" spans="1:99" x14ac:dyDescent="0.2">
      <c r="A622" s="5"/>
      <c r="B622" s="2"/>
      <c r="C622" s="79"/>
      <c r="D622" s="3"/>
      <c r="E622" s="3"/>
      <c r="F622" s="3"/>
      <c r="G622" s="3"/>
      <c r="H622" s="31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23"/>
      <c r="BG622" s="4" t="s">
        <v>2</v>
      </c>
    </row>
    <row r="623" spans="1:99" x14ac:dyDescent="0.2">
      <c r="A623" s="5"/>
      <c r="B623" s="2"/>
      <c r="C623" s="79"/>
      <c r="D623" s="71">
        <f>2*AO609*(I634+N634+AH611*4)/(N634+AH611*4)-D628</f>
        <v>43.856406177214275</v>
      </c>
      <c r="E623" s="71"/>
      <c r="F623" s="3" t="s">
        <v>0</v>
      </c>
      <c r="G623" s="3"/>
      <c r="H623" s="31"/>
      <c r="I623" s="32"/>
      <c r="J623" s="32"/>
      <c r="K623" s="32"/>
      <c r="L623" s="32"/>
      <c r="M623" s="74">
        <f>+Q632/2</f>
        <v>12.5</v>
      </c>
      <c r="N623" s="74"/>
      <c r="O623" s="32"/>
      <c r="P623" s="32"/>
      <c r="Q623" s="6"/>
      <c r="R623" s="7"/>
      <c r="S623" s="80">
        <f>((N634*COS((AO609*360/(2*PI()*N634))*PI()/180))-M623)*Q620/((N634*SIN((AO609*360/(2*PI()*N634))*PI()/180))-Q620)</f>
        <v>28.134650327358091</v>
      </c>
      <c r="T623" s="81"/>
      <c r="U623" s="74" t="s">
        <v>0</v>
      </c>
      <c r="V623" s="32"/>
      <c r="W623" s="32"/>
      <c r="X623" s="32"/>
      <c r="Y623" s="32"/>
      <c r="Z623" s="32"/>
      <c r="AA623" s="3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23"/>
    </row>
    <row r="624" spans="1:99" x14ac:dyDescent="0.2">
      <c r="A624" s="5"/>
      <c r="B624" s="2"/>
      <c r="D624" s="3"/>
      <c r="E624" s="3"/>
      <c r="F624" s="3"/>
      <c r="G624" s="3"/>
      <c r="H624" s="31"/>
      <c r="I624" s="32"/>
      <c r="J624" s="32"/>
      <c r="K624" s="32"/>
      <c r="L624" s="32"/>
      <c r="M624" s="32"/>
      <c r="N624" s="32"/>
      <c r="O624" s="32"/>
      <c r="P624" s="32"/>
      <c r="Q624" s="8"/>
      <c r="R624" s="10"/>
      <c r="S624" s="80"/>
      <c r="T624" s="81"/>
      <c r="U624" s="74"/>
      <c r="V624" s="32"/>
      <c r="W624" s="32"/>
      <c r="X624" s="32"/>
      <c r="Y624" s="32"/>
      <c r="Z624" s="32"/>
      <c r="AA624" s="33"/>
      <c r="AB624" s="3"/>
      <c r="AC624" s="79" t="s">
        <v>0</v>
      </c>
      <c r="AD624" s="3"/>
      <c r="AE624" s="79" t="s">
        <v>0</v>
      </c>
      <c r="AF624" s="3"/>
      <c r="AG624" s="3"/>
      <c r="AH624" s="3"/>
      <c r="AI624" s="3"/>
      <c r="AJ624" s="3"/>
      <c r="AK624" s="3"/>
      <c r="AL624" s="3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23"/>
      <c r="BG624" s="1" t="s">
        <v>20</v>
      </c>
    </row>
    <row r="625" spans="1:55" x14ac:dyDescent="0.2">
      <c r="A625" s="5"/>
      <c r="B625" s="2"/>
      <c r="D625" s="3"/>
      <c r="E625" s="3"/>
      <c r="F625" s="3"/>
      <c r="G625" s="3"/>
      <c r="H625" s="31"/>
      <c r="I625" s="32"/>
      <c r="J625" s="32">
        <v>2</v>
      </c>
      <c r="K625" s="32"/>
      <c r="L625" s="32"/>
      <c r="M625" s="32"/>
      <c r="N625" s="32"/>
      <c r="O625" s="32"/>
      <c r="P625" s="32"/>
      <c r="Q625" s="8"/>
      <c r="R625" s="10"/>
      <c r="S625" s="90">
        <f>(N634*SIN((2*AO609*360/(2*PI()*N634))*PI()/180))*((N634*COS((2*AO609*360/(2*PI()*N634))*PI()/180))+AC626)/((N634*SIN((2*AO609*360/(2*PI()*N634))*PI()/180))+2*AH611)-(N634*COS((2*AO609*360/(2*PI()*N634))*PI()/180))+M623-S623</f>
        <v>4.1815663310711066</v>
      </c>
      <c r="T625" s="91"/>
      <c r="U625" s="74" t="s">
        <v>0</v>
      </c>
      <c r="V625" s="32"/>
      <c r="W625" s="32"/>
      <c r="X625" s="32"/>
      <c r="Y625" s="32">
        <v>11</v>
      </c>
      <c r="Z625" s="32"/>
      <c r="AA625" s="33"/>
      <c r="AB625" s="3"/>
      <c r="AC625" s="79"/>
      <c r="AD625" s="3"/>
      <c r="AE625" s="79"/>
      <c r="AF625" s="3"/>
      <c r="AG625" s="3"/>
      <c r="AL625" s="3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23"/>
    </row>
    <row r="626" spans="1:55" x14ac:dyDescent="0.2">
      <c r="A626" s="5"/>
      <c r="B626" s="2"/>
      <c r="D626" s="3"/>
      <c r="E626" s="3"/>
      <c r="F626" s="3"/>
      <c r="G626" s="3"/>
      <c r="H626" s="31"/>
      <c r="I626" s="32"/>
      <c r="J626" s="32"/>
      <c r="K626" s="32"/>
      <c r="L626" s="32"/>
      <c r="M626" s="32"/>
      <c r="N626" s="32"/>
      <c r="O626" s="32"/>
      <c r="P626" s="32"/>
      <c r="Q626" s="8"/>
      <c r="R626" s="10"/>
      <c r="S626" s="90"/>
      <c r="T626" s="91"/>
      <c r="U626" s="74"/>
      <c r="V626" s="32"/>
      <c r="W626" s="32"/>
      <c r="X626" s="32"/>
      <c r="Y626" s="32"/>
      <c r="Z626" s="32"/>
      <c r="AA626" s="33"/>
      <c r="AB626" s="3"/>
      <c r="AC626" s="79">
        <f>(6*AO609)-(2*PI()*N634*90/360)</f>
        <v>66.117266307370002</v>
      </c>
      <c r="AD626" s="3"/>
      <c r="AE626" s="79">
        <f>+AC626+M623</f>
        <v>78.617266307370002</v>
      </c>
      <c r="AF626" s="3"/>
      <c r="AG626" s="3"/>
      <c r="AL626" s="3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23"/>
    </row>
    <row r="627" spans="1:55" x14ac:dyDescent="0.2">
      <c r="A627" s="5"/>
      <c r="B627" s="2"/>
      <c r="G627" s="3"/>
      <c r="H627" s="31"/>
      <c r="I627" s="32"/>
      <c r="J627" s="32"/>
      <c r="K627" s="32"/>
      <c r="L627" s="32"/>
      <c r="M627" s="32"/>
      <c r="N627" s="32"/>
      <c r="O627" s="32"/>
      <c r="P627" s="32"/>
      <c r="Q627" s="8"/>
      <c r="R627" s="10"/>
      <c r="S627" s="73">
        <f>(N634*SIN((3*AO609*360/(2*PI()*N634))*PI()/180))*((N634*COS((3*AO609*360/(2*PI()*N634))*PI()/180))+AC626)/((N634*SIN((3*AO609*360/(2*PI()*N634))*PI()/180))+3*AH611)-(N634*COS((3*AO609*360/(2*PI()*N634))*PI()/180))-S625+M623-S623</f>
        <v>6.9194605992704403</v>
      </c>
      <c r="T627" s="74"/>
      <c r="U627" s="32" t="s">
        <v>0</v>
      </c>
      <c r="V627" s="32"/>
      <c r="W627" s="32"/>
      <c r="X627" s="32"/>
      <c r="Y627" s="32"/>
      <c r="Z627" s="32"/>
      <c r="AA627" s="33"/>
      <c r="AB627" s="3"/>
      <c r="AC627" s="79"/>
      <c r="AD627" s="3"/>
      <c r="AE627" s="79"/>
      <c r="AF627" s="3"/>
      <c r="AG627" s="3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23"/>
    </row>
    <row r="628" spans="1:55" x14ac:dyDescent="0.2">
      <c r="A628" s="5"/>
      <c r="B628" s="2"/>
      <c r="C628" s="3"/>
      <c r="D628" s="71">
        <f>1*AO609*(I634+N634+AH611*5)/(N634+AH611*5)</f>
        <v>41.096309919887183</v>
      </c>
      <c r="E628" s="71"/>
      <c r="F628" s="3" t="s">
        <v>0</v>
      </c>
      <c r="G628" s="3"/>
      <c r="H628" s="31"/>
      <c r="I628" s="32"/>
      <c r="J628" s="32">
        <v>1</v>
      </c>
      <c r="K628" s="32"/>
      <c r="L628" s="32"/>
      <c r="M628" s="32"/>
      <c r="N628" s="32"/>
      <c r="O628" s="32"/>
      <c r="P628" s="32"/>
      <c r="Q628" s="8"/>
      <c r="R628" s="10"/>
      <c r="S628" s="73">
        <f>+AC626+M623-S623-S625-S627-S629-S630</f>
        <v>9.5327876670012941</v>
      </c>
      <c r="T628" s="74"/>
      <c r="U628" s="32" t="s">
        <v>0</v>
      </c>
      <c r="V628" s="32"/>
      <c r="W628" s="32"/>
      <c r="X628" s="32"/>
      <c r="Y628" s="32">
        <v>12</v>
      </c>
      <c r="Z628" s="32"/>
      <c r="AA628" s="33"/>
      <c r="AB628" s="3"/>
      <c r="AC628" s="79"/>
      <c r="AD628" s="3"/>
      <c r="AE628" s="79"/>
      <c r="AF628" s="3"/>
      <c r="AG628" s="3"/>
      <c r="AL628" s="3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23"/>
    </row>
    <row r="629" spans="1:55" x14ac:dyDescent="0.2">
      <c r="A629" s="5"/>
      <c r="B629" s="2"/>
      <c r="C629" s="3"/>
      <c r="D629" s="3"/>
      <c r="E629" s="3"/>
      <c r="F629" s="3"/>
      <c r="G629" s="3"/>
      <c r="H629" s="31"/>
      <c r="I629" s="32"/>
      <c r="J629" s="32"/>
      <c r="K629" s="32"/>
      <c r="L629" s="32"/>
      <c r="M629" s="32"/>
      <c r="N629" s="32"/>
      <c r="O629" s="32"/>
      <c r="P629" s="32"/>
      <c r="Q629" s="8"/>
      <c r="R629" s="10"/>
      <c r="S629" s="73">
        <f>2*AO609-((D628+D623)-2*AO609)*N634/I634-S630</f>
        <v>13.256842535866085</v>
      </c>
      <c r="T629" s="74"/>
      <c r="U629" s="32" t="s">
        <v>0</v>
      </c>
      <c r="V629" s="32"/>
      <c r="W629" s="32"/>
      <c r="X629" s="32"/>
      <c r="Y629" s="32"/>
      <c r="Z629" s="32"/>
      <c r="AA629" s="33"/>
      <c r="AB629" s="3"/>
      <c r="AF629" s="3"/>
      <c r="AG629" s="3"/>
      <c r="AL629" s="3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23"/>
    </row>
    <row r="630" spans="1:55" x14ac:dyDescent="0.2">
      <c r="A630" s="5"/>
      <c r="B630" s="2"/>
      <c r="C630" s="3"/>
      <c r="D630" s="3"/>
      <c r="E630" s="3"/>
      <c r="F630" s="3"/>
      <c r="G630" s="3"/>
      <c r="H630" s="35"/>
      <c r="I630" s="36"/>
      <c r="J630" s="36"/>
      <c r="K630" s="36"/>
      <c r="L630" s="36"/>
      <c r="M630" s="36"/>
      <c r="N630" s="36"/>
      <c r="O630" s="36"/>
      <c r="P630" s="36"/>
      <c r="Q630" s="11"/>
      <c r="R630" s="12"/>
      <c r="S630" s="75">
        <f>1*AO609-((+D628)-1*AO609)*N634/I634</f>
        <v>16.591958846802989</v>
      </c>
      <c r="T630" s="76"/>
      <c r="U630" s="36" t="s">
        <v>0</v>
      </c>
      <c r="V630" s="36"/>
      <c r="W630" s="36"/>
      <c r="X630" s="36"/>
      <c r="Y630" s="36"/>
      <c r="Z630" s="36"/>
      <c r="AA630" s="37"/>
      <c r="AB630" s="3"/>
      <c r="AD630" s="3"/>
      <c r="AF630" s="3"/>
      <c r="AG630" s="3"/>
      <c r="AH630" s="3"/>
      <c r="AJ630" s="3"/>
      <c r="AK630" s="3"/>
      <c r="AL630" s="3"/>
      <c r="AM630" s="3"/>
      <c r="AN630" s="3"/>
      <c r="AO630" s="3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23"/>
    </row>
    <row r="631" spans="1:55" x14ac:dyDescent="0.2">
      <c r="A631" s="5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Z631" s="3"/>
      <c r="BA631" s="3"/>
      <c r="BB631" s="3"/>
      <c r="BC631" s="5"/>
    </row>
    <row r="632" spans="1:55" x14ac:dyDescent="0.2">
      <c r="A632" s="5"/>
      <c r="B632" s="2"/>
      <c r="C632" s="3"/>
      <c r="D632" s="3"/>
      <c r="E632" s="3"/>
      <c r="F632" s="3"/>
      <c r="G632" s="3"/>
      <c r="H632" s="3"/>
      <c r="I632" s="3"/>
      <c r="J632" s="3"/>
      <c r="K632" s="78">
        <v>120</v>
      </c>
      <c r="L632" s="78"/>
      <c r="M632" s="3" t="s">
        <v>0</v>
      </c>
      <c r="N632" s="3"/>
      <c r="O632" s="3"/>
      <c r="P632" s="3"/>
      <c r="Q632" s="78">
        <v>25</v>
      </c>
      <c r="R632" s="78"/>
      <c r="S632" s="3" t="s">
        <v>0</v>
      </c>
      <c r="T632" s="3"/>
      <c r="U632" s="3"/>
      <c r="V632" s="71">
        <f>+K632</f>
        <v>120</v>
      </c>
      <c r="W632" s="71"/>
      <c r="X632" s="3" t="s">
        <v>0</v>
      </c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J632" s="3" t="s">
        <v>9</v>
      </c>
      <c r="AK632" s="3"/>
      <c r="AL632" s="71">
        <f>+AO609</f>
        <v>30</v>
      </c>
      <c r="AM632" s="71"/>
      <c r="AN632" s="3" t="s">
        <v>0</v>
      </c>
      <c r="AO632" s="3"/>
      <c r="AP632" s="3"/>
      <c r="AQ632" s="3"/>
      <c r="AR632" s="3"/>
      <c r="AS632" s="3"/>
      <c r="AT632" s="3"/>
      <c r="AU632" s="3"/>
      <c r="AZ632" s="3"/>
      <c r="BA632" s="3"/>
      <c r="BB632" s="3"/>
      <c r="BC632" s="5"/>
    </row>
    <row r="633" spans="1:55" x14ac:dyDescent="0.2">
      <c r="A633" s="5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Z633" s="3"/>
      <c r="BA633" s="3"/>
      <c r="BB633" s="3"/>
      <c r="BC633" s="5"/>
    </row>
    <row r="634" spans="1:55" x14ac:dyDescent="0.2">
      <c r="A634" s="5"/>
      <c r="B634" s="2"/>
      <c r="C634" s="3"/>
      <c r="D634" s="3"/>
      <c r="E634" s="3"/>
      <c r="F634" s="3"/>
      <c r="G634" s="3"/>
      <c r="H634" s="3"/>
      <c r="I634" s="71">
        <f>+K632/2</f>
        <v>60</v>
      </c>
      <c r="J634" s="71"/>
      <c r="K634" s="3" t="s">
        <v>0</v>
      </c>
      <c r="L634" s="3"/>
      <c r="M634" s="3"/>
      <c r="N634" s="71">
        <f>+K632/2+Q632/2</f>
        <v>72.5</v>
      </c>
      <c r="O634" s="71"/>
      <c r="P634" s="3" t="s">
        <v>0</v>
      </c>
      <c r="Q634" s="3"/>
      <c r="R634" s="3"/>
      <c r="S634" s="3"/>
      <c r="T634" s="71">
        <f>+V632/2+Q632/2</f>
        <v>72.5</v>
      </c>
      <c r="U634" s="71"/>
      <c r="V634" s="3" t="s">
        <v>0</v>
      </c>
      <c r="W634" s="3"/>
      <c r="X634" s="3"/>
      <c r="Y634" s="71">
        <f>+V632/2</f>
        <v>60</v>
      </c>
      <c r="Z634" s="71"/>
      <c r="AA634" s="3" t="s">
        <v>0</v>
      </c>
      <c r="AB634" s="3"/>
      <c r="AC634" s="3"/>
      <c r="AD634" s="3"/>
      <c r="AE634" s="3"/>
      <c r="AF634" s="3"/>
      <c r="AG634" s="3"/>
      <c r="AH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Z634" s="3"/>
      <c r="BA634" s="3"/>
      <c r="BB634" s="3"/>
      <c r="BC634" s="5"/>
    </row>
    <row r="635" spans="1:55" x14ac:dyDescent="0.2">
      <c r="A635" s="5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Z635" s="3"/>
      <c r="BA635" s="3"/>
      <c r="BB635" s="3"/>
      <c r="BC635" s="5"/>
    </row>
    <row r="636" spans="1:55" x14ac:dyDescent="0.2">
      <c r="A636" s="5"/>
      <c r="B636" s="2"/>
      <c r="C636" s="3"/>
      <c r="D636" s="3"/>
      <c r="E636" s="3"/>
      <c r="F636" s="3"/>
      <c r="G636" s="3"/>
      <c r="H636" s="3"/>
      <c r="I636" s="3"/>
      <c r="J636" s="3"/>
      <c r="K636" s="72">
        <f>+K632+Q632/2</f>
        <v>132.5</v>
      </c>
      <c r="L636" s="72"/>
      <c r="M636" s="72"/>
      <c r="N636" s="3" t="s">
        <v>0</v>
      </c>
      <c r="O636" s="3"/>
      <c r="P636" s="3"/>
      <c r="Q636" s="3"/>
      <c r="R636" s="3"/>
      <c r="S636" s="3"/>
      <c r="T636" s="3"/>
      <c r="U636" s="71">
        <f>+K636</f>
        <v>132.5</v>
      </c>
      <c r="V636" s="71"/>
      <c r="W636" s="71"/>
      <c r="X636" s="3" t="s">
        <v>0</v>
      </c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J636" s="3" t="s">
        <v>21</v>
      </c>
      <c r="AK636" s="3"/>
      <c r="AL636" s="3"/>
      <c r="AM636" s="3"/>
      <c r="AN636" s="3"/>
      <c r="AO636" s="3"/>
      <c r="AP636" s="38"/>
      <c r="AQ636" s="38"/>
      <c r="AR636" s="9"/>
      <c r="AS636" s="3"/>
      <c r="AT636" s="3"/>
      <c r="AU636" s="3"/>
      <c r="AZ636" s="3"/>
      <c r="BA636" s="3"/>
      <c r="BB636" s="3"/>
      <c r="BC636" s="5"/>
    </row>
    <row r="637" spans="1:55" x14ac:dyDescent="0.2">
      <c r="A637" s="5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Z637" s="3"/>
      <c r="BA637" s="3"/>
      <c r="BB637" s="3"/>
      <c r="BC637" s="5"/>
    </row>
    <row r="638" spans="1:55" x14ac:dyDescent="0.2">
      <c r="A638" s="5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71">
        <f>+K632+Q632+V632</f>
        <v>265</v>
      </c>
      <c r="R638" s="71"/>
      <c r="S638" s="3" t="s">
        <v>0</v>
      </c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X638" s="3"/>
      <c r="AY638" s="3"/>
      <c r="AZ638" s="3"/>
      <c r="BA638" s="3"/>
      <c r="BB638" s="3"/>
      <c r="BC638" s="5"/>
    </row>
    <row r="639" spans="1:55" ht="12" thickBot="1" x14ac:dyDescent="0.25">
      <c r="A639" s="5"/>
      <c r="B639" s="13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5"/>
    </row>
    <row r="640" spans="1:55" ht="12" thickBot="1" x14ac:dyDescent="0.25"/>
    <row r="641" spans="1:97" ht="48.75" customHeight="1" x14ac:dyDescent="0.2">
      <c r="A641" s="18"/>
      <c r="B641" s="85" t="s">
        <v>23</v>
      </c>
      <c r="C641" s="85"/>
      <c r="D641" s="85"/>
      <c r="E641" s="8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85"/>
      <c r="S641" s="85"/>
      <c r="T641" s="85"/>
      <c r="U641" s="85"/>
      <c r="V641" s="85"/>
      <c r="W641" s="85"/>
      <c r="X641" s="85"/>
      <c r="Y641" s="85"/>
      <c r="Z641" s="85"/>
      <c r="AA641" s="85"/>
      <c r="AB641" s="85"/>
      <c r="AC641" s="85"/>
      <c r="AD641" s="85"/>
      <c r="AE641" s="85"/>
      <c r="AF641" s="85"/>
      <c r="AG641" s="85"/>
      <c r="AH641" s="85"/>
      <c r="AI641" s="85"/>
      <c r="AJ641" s="85"/>
      <c r="AK641" s="85"/>
      <c r="AL641" s="85"/>
      <c r="AM641" s="85"/>
      <c r="AN641" s="85"/>
      <c r="AO641" s="85"/>
      <c r="AP641" s="85"/>
      <c r="AQ641" s="85"/>
      <c r="AR641" s="85"/>
      <c r="AS641" s="85"/>
      <c r="AT641" s="85"/>
      <c r="AU641" s="85"/>
      <c r="AV641" s="85"/>
      <c r="AW641" s="85"/>
      <c r="AX641" s="85"/>
      <c r="AY641" s="85"/>
      <c r="AZ641" s="85"/>
      <c r="BA641" s="85"/>
      <c r="BB641" s="85"/>
      <c r="BC641" s="86"/>
      <c r="BD641" s="17"/>
      <c r="BE641" s="17"/>
      <c r="BF641" s="17"/>
      <c r="BG641" s="17"/>
      <c r="BH641" s="17"/>
      <c r="BI641" s="17"/>
      <c r="BJ641" s="17"/>
      <c r="BK641" s="17"/>
      <c r="BL641" s="17"/>
      <c r="BM641" s="17"/>
      <c r="BN641" s="17"/>
      <c r="BO641" s="17"/>
      <c r="BP641" s="17"/>
      <c r="BQ641" s="17"/>
      <c r="BR641" s="17"/>
      <c r="BS641" s="17"/>
      <c r="BT641" s="17"/>
      <c r="BU641" s="17"/>
      <c r="BV641" s="17"/>
      <c r="BW641" s="17"/>
      <c r="BX641" s="17"/>
      <c r="BY641" s="17"/>
      <c r="BZ641" s="17"/>
      <c r="CA641" s="17"/>
      <c r="CB641" s="17"/>
      <c r="CC641" s="17"/>
      <c r="CD641" s="17"/>
      <c r="CE641" s="17"/>
      <c r="CF641" s="17"/>
      <c r="CG641" s="17"/>
      <c r="CH641" s="17"/>
      <c r="CI641" s="17"/>
    </row>
    <row r="642" spans="1:97" x14ac:dyDescent="0.2">
      <c r="A642" s="23"/>
      <c r="B642" s="3"/>
      <c r="C642" s="3"/>
      <c r="D642" s="3"/>
      <c r="E642" s="3"/>
      <c r="F642" s="3"/>
      <c r="G642" s="3"/>
      <c r="H642" s="3"/>
      <c r="I642" s="3"/>
      <c r="J642" s="3"/>
      <c r="K642" s="3"/>
      <c r="N642" s="3"/>
      <c r="O642" s="3"/>
      <c r="P642" s="3"/>
      <c r="Q642" s="3"/>
      <c r="R642" s="3"/>
      <c r="S642" s="3"/>
      <c r="T642" s="3"/>
      <c r="U642" s="3"/>
      <c r="X642" s="3"/>
      <c r="Y642" s="3"/>
      <c r="Z642" s="16" t="s">
        <v>5</v>
      </c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18"/>
      <c r="BD642" s="17"/>
      <c r="BE642" s="17"/>
      <c r="BF642" s="17"/>
      <c r="BG642" s="17"/>
      <c r="BH642" s="17"/>
      <c r="BI642" s="17"/>
      <c r="BJ642" s="17"/>
      <c r="BK642" s="17"/>
      <c r="BL642" s="17"/>
      <c r="BM642" s="17"/>
      <c r="BN642" s="17"/>
      <c r="BO642" s="17"/>
      <c r="BP642" s="17"/>
      <c r="BQ642" s="17"/>
      <c r="BR642" s="17"/>
      <c r="BS642" s="17"/>
      <c r="BT642" s="17"/>
      <c r="BU642" s="17"/>
      <c r="BV642" s="17"/>
      <c r="BW642" s="17"/>
      <c r="BX642" s="17"/>
      <c r="BY642" s="17"/>
      <c r="BZ642" s="17"/>
      <c r="CA642" s="17"/>
      <c r="CB642" s="17"/>
      <c r="CC642" s="17"/>
      <c r="CD642" s="17"/>
      <c r="CE642" s="17"/>
      <c r="CF642" s="17"/>
      <c r="CG642" s="17"/>
      <c r="CH642" s="17"/>
      <c r="CI642" s="17"/>
    </row>
    <row r="643" spans="1:97" x14ac:dyDescent="0.2">
      <c r="A643" s="23"/>
      <c r="B643" s="3"/>
      <c r="C643" s="3"/>
      <c r="D643" s="3"/>
      <c r="E643" s="3"/>
      <c r="F643" s="3"/>
      <c r="G643" s="3"/>
      <c r="H643" s="3"/>
      <c r="I643" s="3"/>
      <c r="J643" s="3"/>
      <c r="K643" s="71">
        <f>+K671</f>
        <v>132.5</v>
      </c>
      <c r="L643" s="71"/>
      <c r="M643" s="71"/>
      <c r="N643" s="3" t="s">
        <v>0</v>
      </c>
      <c r="O643" s="3"/>
      <c r="P643" s="3"/>
      <c r="Q643" s="3"/>
      <c r="R643" s="3"/>
      <c r="S643" s="3"/>
      <c r="T643" s="3"/>
      <c r="U643" s="71">
        <f>+K643</f>
        <v>132.5</v>
      </c>
      <c r="V643" s="71"/>
      <c r="W643" s="71"/>
      <c r="X643" s="3" t="s">
        <v>0</v>
      </c>
      <c r="Y643" s="3"/>
      <c r="Z643" s="16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5"/>
    </row>
    <row r="644" spans="1:97" x14ac:dyDescent="0.2">
      <c r="A644" s="23"/>
      <c r="B644" s="3"/>
      <c r="C644" s="3"/>
      <c r="F644" s="3"/>
      <c r="G644" s="3"/>
      <c r="H644" s="3"/>
      <c r="I644" s="3"/>
      <c r="J644" s="3"/>
      <c r="K644" s="3"/>
      <c r="Q644" s="3"/>
      <c r="R644" s="3"/>
      <c r="X644" s="3"/>
      <c r="Y644" s="3"/>
      <c r="Z644" s="3"/>
      <c r="AA644" s="3"/>
      <c r="AB644" s="3"/>
      <c r="AC644" s="3"/>
      <c r="AD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5"/>
    </row>
    <row r="645" spans="1:97" x14ac:dyDescent="0.2">
      <c r="A645" s="23"/>
      <c r="B645" s="3"/>
      <c r="C645" s="3"/>
      <c r="D645" s="3"/>
      <c r="E645" s="3"/>
      <c r="F645" s="3"/>
      <c r="G645" s="3"/>
      <c r="H645" s="71">
        <f>+K643-L645-P645</f>
        <v>54.472523358040164</v>
      </c>
      <c r="I645" s="71"/>
      <c r="J645" s="3" t="s">
        <v>0</v>
      </c>
      <c r="K645" s="3"/>
      <c r="L645" s="71">
        <f>(N669*SIN((1.5*AT645*360/(2*PI()*N669))*PI()/180))*((I669+N669-(N669*COS((1.5*AT645*360/(2*PI()*N669))*PI()/180)))+((N669*SIN((1.5*AT645*360/(2*PI()*N669))*PI()/180))*((N669*COS((1.5*AT645*360/(2*PI()*N669))*PI()/180))+AC661)/((N669*SIN((1.5*AT645*360/(2*PI()*N669))*PI()/180))+2*AM647)))/((N669*SIN((1.5*AT645*360/(2*PI()*N669))*PI()/180))*((N669*COS((1.5*AT645*360/(2*PI()*N669))*PI()/180))+AC661)/((N669*SIN((1.5*AT645*360/(2*PI()*N669))*PI()/180))+2*AM647))-P645</f>
        <v>52.717667244523653</v>
      </c>
      <c r="M645" s="71"/>
      <c r="N645" s="1" t="s">
        <v>0</v>
      </c>
      <c r="P645" s="71">
        <f>((N669*SIN((AT645/2*360/(2*PI()*N669))*PI()/180))-Q655)*(I669-((N669*COS((AT645/2*360/(2*PI()*N669))*PI()/180))-M658)+I669)/((N669*COS((AT645/2*360/(2*PI()*N669))*PI()/180))-M658)+(N669*SIN((AT645/2*360/(2*PI()*N669))*PI()/180))</f>
        <v>25.309809397436183</v>
      </c>
      <c r="Q645" s="71"/>
      <c r="R645" s="71">
        <f>+P645</f>
        <v>25.309809397436183</v>
      </c>
      <c r="S645" s="71"/>
      <c r="U645" s="71">
        <f>+L645</f>
        <v>52.717667244523653</v>
      </c>
      <c r="V645" s="71"/>
      <c r="W645" s="1" t="s">
        <v>0</v>
      </c>
      <c r="X645" s="3"/>
      <c r="Y645" s="71">
        <f>+H645</f>
        <v>54.472523358040164</v>
      </c>
      <c r="Z645" s="71"/>
      <c r="AA645" s="3" t="s">
        <v>0</v>
      </c>
      <c r="AB645" s="3"/>
      <c r="AC645" s="3"/>
      <c r="AD645" s="3"/>
      <c r="AG645" s="3"/>
      <c r="AM645" s="3" t="s">
        <v>1</v>
      </c>
      <c r="AN645" s="3"/>
      <c r="AO645" s="3"/>
      <c r="AP645" s="3"/>
      <c r="AQ645" s="3"/>
      <c r="AR645" s="3"/>
      <c r="AS645" s="3"/>
      <c r="AT645" s="78">
        <v>30</v>
      </c>
      <c r="AU645" s="78"/>
      <c r="AV645" s="3" t="s">
        <v>0</v>
      </c>
      <c r="AW645" s="3"/>
      <c r="AX645" s="3"/>
      <c r="AY645" s="3"/>
      <c r="AZ645" s="3"/>
      <c r="BA645" s="3"/>
      <c r="BB645" s="3"/>
      <c r="BC645" s="5"/>
      <c r="BG645" s="27" t="s">
        <v>22</v>
      </c>
      <c r="CS645" s="3"/>
    </row>
    <row r="646" spans="1:97" x14ac:dyDescent="0.2">
      <c r="A646" s="2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M646" s="3" t="s">
        <v>3</v>
      </c>
      <c r="AN646" s="3"/>
      <c r="AO646" s="3"/>
      <c r="AP646" s="3"/>
      <c r="AQ646" s="3"/>
      <c r="AR646" s="3"/>
      <c r="AS646" s="9">
        <v>11</v>
      </c>
      <c r="AT646" s="3" t="s">
        <v>4</v>
      </c>
      <c r="AU646" s="3"/>
      <c r="AV646" s="3"/>
      <c r="AW646" s="3"/>
      <c r="AX646" s="3"/>
      <c r="AY646" s="3"/>
      <c r="AZ646" s="3"/>
      <c r="BA646" s="3"/>
      <c r="BB646" s="3"/>
      <c r="BC646" s="5"/>
      <c r="BG646" s="3" t="s">
        <v>18</v>
      </c>
      <c r="BH646" s="3"/>
      <c r="BI646" s="3"/>
      <c r="BJ646" s="3"/>
      <c r="BK646" s="3"/>
      <c r="BL646" s="78">
        <v>1.85</v>
      </c>
      <c r="BM646" s="78"/>
      <c r="BN646" s="3" t="s">
        <v>10</v>
      </c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CS646" s="3"/>
    </row>
    <row r="647" spans="1:97" x14ac:dyDescent="0.2">
      <c r="A647" s="2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M647" s="82">
        <f>P645*(AC661+M658-S658)/(AC653-M658+S658)</f>
        <v>5.7671212757385293</v>
      </c>
      <c r="AN647" s="82"/>
      <c r="AO647" s="82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5"/>
      <c r="BG647" s="21" t="s">
        <v>6</v>
      </c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CS647" s="3"/>
    </row>
    <row r="648" spans="1:97" x14ac:dyDescent="0.2">
      <c r="A648" s="23"/>
      <c r="B648" s="3"/>
      <c r="C648" s="3"/>
      <c r="D648" s="71">
        <f>+C656-D656-D662-D651</f>
        <v>17.747974643003516</v>
      </c>
      <c r="E648" s="71"/>
      <c r="F648" s="3" t="s">
        <v>0</v>
      </c>
      <c r="G648" s="3"/>
      <c r="H648" s="28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30"/>
      <c r="AB648" s="3"/>
      <c r="AC648" s="3"/>
      <c r="AD648" s="3"/>
      <c r="AE648" s="3"/>
      <c r="AF648" s="3"/>
      <c r="AG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5"/>
      <c r="BG648" s="3" t="s">
        <v>7</v>
      </c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CS648" s="3"/>
    </row>
    <row r="649" spans="1:97" x14ac:dyDescent="0.2">
      <c r="A649" s="23"/>
      <c r="B649" s="3"/>
      <c r="C649" s="3"/>
      <c r="G649" s="3"/>
      <c r="H649" s="31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3"/>
      <c r="AB649" s="3"/>
      <c r="AC649" s="3"/>
      <c r="AD649" s="3"/>
      <c r="AE649" s="3"/>
      <c r="AF649" s="3"/>
      <c r="AG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5"/>
      <c r="BG649" s="3" t="s">
        <v>8</v>
      </c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CS649" s="3"/>
    </row>
    <row r="650" spans="1:97" x14ac:dyDescent="0.2">
      <c r="A650" s="23"/>
      <c r="B650" s="3"/>
      <c r="C650" s="3"/>
      <c r="D650" s="3"/>
      <c r="E650" s="3"/>
      <c r="F650" s="3"/>
      <c r="G650" s="3"/>
      <c r="H650" s="31"/>
      <c r="I650" s="32"/>
      <c r="J650" s="32"/>
      <c r="K650" s="32"/>
      <c r="L650" s="32"/>
      <c r="M650" s="32"/>
      <c r="N650" s="32">
        <v>5</v>
      </c>
      <c r="O650" s="46"/>
      <c r="P650" s="32"/>
      <c r="Q650" s="74">
        <v>6</v>
      </c>
      <c r="R650" s="74"/>
      <c r="S650" s="32"/>
      <c r="T650" s="32"/>
      <c r="U650" s="32">
        <v>7</v>
      </c>
      <c r="V650" s="32"/>
      <c r="W650" s="32"/>
      <c r="X650" s="32"/>
      <c r="Y650" s="32"/>
      <c r="Z650" s="32"/>
      <c r="AA650" s="33"/>
      <c r="AB650" s="3"/>
      <c r="AC650" s="3"/>
      <c r="AD650" s="3"/>
      <c r="AE650" s="3"/>
      <c r="AF650" s="3"/>
      <c r="AG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5"/>
      <c r="BG650" s="3" t="s">
        <v>9</v>
      </c>
      <c r="BH650" s="3"/>
      <c r="BI650" s="71">
        <f>0.63-2*BI651</f>
        <v>0.29363636363636364</v>
      </c>
      <c r="BJ650" s="71"/>
      <c r="BK650" s="71"/>
      <c r="BL650" s="3" t="s">
        <v>10</v>
      </c>
      <c r="BM650" s="3" t="s">
        <v>11</v>
      </c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CM650" s="3"/>
      <c r="CN650" s="3"/>
      <c r="CO650" s="3"/>
      <c r="CR650" s="3"/>
      <c r="CS650" s="3"/>
    </row>
    <row r="651" spans="1:97" x14ac:dyDescent="0.2">
      <c r="A651" s="23"/>
      <c r="B651" s="3"/>
      <c r="C651" s="3"/>
      <c r="D651" s="71">
        <f>(S663+S664+S665)*(K671+3*AM647)/(3*AM647)-D656-D662</f>
        <v>67.677723960107613</v>
      </c>
      <c r="E651" s="71"/>
      <c r="F651" s="3" t="s">
        <v>0</v>
      </c>
      <c r="G651" s="3"/>
      <c r="H651" s="31"/>
      <c r="I651" s="32"/>
      <c r="J651" s="32"/>
      <c r="K651" s="32">
        <v>4</v>
      </c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>
        <v>8</v>
      </c>
      <c r="Y651" s="32"/>
      <c r="Z651" s="32"/>
      <c r="AA651" s="33"/>
      <c r="AB651" s="3"/>
      <c r="AC651" s="79" t="s">
        <v>0</v>
      </c>
      <c r="AD651" s="3"/>
      <c r="AE651" s="79" t="s">
        <v>0</v>
      </c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5"/>
      <c r="BG651" s="3" t="s">
        <v>12</v>
      </c>
      <c r="BH651" s="3"/>
      <c r="BI651" s="71">
        <f>BL646/BL652</f>
        <v>0.16818181818181818</v>
      </c>
      <c r="BJ651" s="71"/>
      <c r="BK651" s="71"/>
      <c r="BL651" s="3" t="s">
        <v>10</v>
      </c>
      <c r="BM651" s="3" t="s">
        <v>13</v>
      </c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CS651" s="3"/>
    </row>
    <row r="652" spans="1:97" x14ac:dyDescent="0.2">
      <c r="A652" s="23"/>
      <c r="B652" s="3"/>
      <c r="C652" s="3"/>
      <c r="D652" s="3"/>
      <c r="E652" s="3"/>
      <c r="F652" s="3"/>
      <c r="G652" s="3"/>
      <c r="H652" s="31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3"/>
      <c r="AB652" s="3"/>
      <c r="AC652" s="79"/>
      <c r="AD652" s="3"/>
      <c r="AE652" s="79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5"/>
      <c r="BG652" s="3" t="s">
        <v>14</v>
      </c>
      <c r="BH652" s="3"/>
      <c r="BI652" s="3"/>
      <c r="BJ652" s="3"/>
      <c r="BK652" s="3"/>
      <c r="BL652" s="72">
        <v>11</v>
      </c>
      <c r="BM652" s="72"/>
      <c r="BN652" s="3" t="s">
        <v>4</v>
      </c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</row>
    <row r="653" spans="1:97" x14ac:dyDescent="0.2">
      <c r="A653" s="23"/>
      <c r="B653" s="3"/>
      <c r="C653" s="3"/>
      <c r="G653" s="3"/>
      <c r="H653" s="31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3"/>
      <c r="AB653" s="3"/>
      <c r="AC653" s="79">
        <f>+K667+Q667/2</f>
        <v>132.5</v>
      </c>
      <c r="AD653" s="3"/>
      <c r="AE653" s="79">
        <f>+C656-AE661</f>
        <v>120.00000000000001</v>
      </c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9"/>
      <c r="AY653" s="9"/>
      <c r="AZ653" s="9"/>
      <c r="BA653" s="9"/>
      <c r="BB653" s="9"/>
      <c r="BC653" s="23"/>
      <c r="BG653" s="3">
        <v>2</v>
      </c>
      <c r="BH653" s="45" t="s">
        <v>15</v>
      </c>
      <c r="BI653" s="71">
        <f>+BI651</f>
        <v>0.16818181818181818</v>
      </c>
      <c r="BJ653" s="71"/>
      <c r="BK653" s="71"/>
      <c r="BL653" s="45" t="s">
        <v>16</v>
      </c>
      <c r="BM653" s="71">
        <f>+BI650</f>
        <v>0.29363636363636364</v>
      </c>
      <c r="BN653" s="71"/>
      <c r="BO653" s="71"/>
      <c r="BP653" s="45" t="s">
        <v>17</v>
      </c>
      <c r="BQ653" s="71">
        <f>+BG653*BI653+BM653</f>
        <v>0.63</v>
      </c>
      <c r="BR653" s="71"/>
      <c r="BS653" s="71"/>
      <c r="BT653" s="3" t="s">
        <v>10</v>
      </c>
      <c r="BU653" s="3"/>
      <c r="BV653" s="16" t="str">
        <f>IF(BQ653=0.63,"uygun.","uygun değil.")</f>
        <v>uygun.</v>
      </c>
      <c r="BW653" s="3"/>
      <c r="BX653" s="3"/>
      <c r="BY653" s="3"/>
    </row>
    <row r="654" spans="1:97" x14ac:dyDescent="0.2">
      <c r="A654" s="23"/>
      <c r="B654" s="3"/>
      <c r="C654" s="79" t="s">
        <v>0</v>
      </c>
      <c r="D654" s="3"/>
      <c r="E654" s="3"/>
      <c r="F654" s="3"/>
      <c r="G654" s="3"/>
      <c r="H654" s="31"/>
      <c r="I654" s="32"/>
      <c r="J654" s="32">
        <v>3</v>
      </c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>
        <v>9</v>
      </c>
      <c r="Z654" s="32"/>
      <c r="AA654" s="33"/>
      <c r="AB654" s="3"/>
      <c r="AC654" s="79"/>
      <c r="AD654" s="3"/>
      <c r="AE654" s="79"/>
      <c r="AF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9"/>
      <c r="AY654" s="9"/>
      <c r="AZ654" s="9"/>
      <c r="BA654" s="9"/>
      <c r="BB654" s="9"/>
      <c r="BC654" s="23"/>
    </row>
    <row r="655" spans="1:97" x14ac:dyDescent="0.2">
      <c r="A655" s="23"/>
      <c r="B655" s="3"/>
      <c r="C655" s="79"/>
      <c r="D655" s="3"/>
      <c r="E655" s="3"/>
      <c r="F655" s="3"/>
      <c r="G655" s="3"/>
      <c r="H655" s="31"/>
      <c r="I655" s="32"/>
      <c r="J655" s="32"/>
      <c r="K655" s="32"/>
      <c r="L655" s="32"/>
      <c r="M655" s="32"/>
      <c r="N655" s="32"/>
      <c r="O655" s="32"/>
      <c r="P655" s="32"/>
      <c r="Q655" s="20">
        <v>5</v>
      </c>
      <c r="R655" s="32" t="s">
        <v>0</v>
      </c>
      <c r="S655" s="32"/>
      <c r="T655" s="32"/>
      <c r="U655" s="32"/>
      <c r="V655" s="32"/>
      <c r="W655" s="32"/>
      <c r="X655" s="32"/>
      <c r="Y655" s="32"/>
      <c r="Z655" s="32"/>
      <c r="AA655" s="33"/>
      <c r="AB655" s="3"/>
      <c r="AC655" s="79"/>
      <c r="AD655" s="3"/>
      <c r="AE655" s="79"/>
      <c r="AF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9"/>
      <c r="AY655" s="9"/>
      <c r="AZ655" s="9"/>
      <c r="BA655" s="9"/>
      <c r="BB655" s="9"/>
      <c r="BC655" s="23"/>
    </row>
    <row r="656" spans="1:97" x14ac:dyDescent="0.2">
      <c r="A656" s="23"/>
      <c r="B656" s="3"/>
      <c r="C656" s="79">
        <f>+AC653+AC661</f>
        <v>183.61726630737002</v>
      </c>
      <c r="D656" s="71">
        <f>((S664+S665)*(K671+4*AM647)/(4*AM647))-((S665)*(K671+5*AM647)/(5*AM647))</f>
        <v>50.428808252528043</v>
      </c>
      <c r="E656" s="71"/>
      <c r="F656" s="3" t="s">
        <v>0</v>
      </c>
      <c r="G656" s="3"/>
      <c r="H656" s="31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3"/>
      <c r="AB656" s="3"/>
      <c r="AC656" s="3"/>
      <c r="AD656" s="3"/>
      <c r="AE656" s="3"/>
      <c r="AF656" s="3"/>
      <c r="AH656" s="3"/>
      <c r="AI656" s="3"/>
      <c r="AJ656" s="3"/>
      <c r="AN656" s="3"/>
      <c r="AO656" s="3"/>
      <c r="AP656" s="3"/>
      <c r="AQ656" s="3"/>
      <c r="AR656" s="3"/>
      <c r="AS656" s="3"/>
      <c r="AT656" s="3"/>
      <c r="AU656" s="3"/>
      <c r="AV656" s="3"/>
      <c r="AW656" s="9"/>
      <c r="AY656" s="9"/>
      <c r="AZ656" s="9"/>
      <c r="BA656" s="9"/>
      <c r="BB656" s="9"/>
      <c r="BC656" s="23"/>
      <c r="BG656" s="1" t="s">
        <v>19</v>
      </c>
    </row>
    <row r="657" spans="1:59" x14ac:dyDescent="0.2">
      <c r="A657" s="23"/>
      <c r="B657" s="3"/>
      <c r="C657" s="79"/>
      <c r="D657" s="3"/>
      <c r="E657" s="3"/>
      <c r="F657" s="3"/>
      <c r="G657" s="3"/>
      <c r="H657" s="31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3"/>
      <c r="AB657" s="3"/>
      <c r="AC657" s="3"/>
      <c r="AD657" s="3"/>
      <c r="AE657" s="3"/>
      <c r="AF657" s="3"/>
      <c r="AH657" s="3"/>
      <c r="AI657" s="3"/>
      <c r="AJ657" s="3"/>
      <c r="AK657" s="3"/>
      <c r="AL657" s="3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Y657" s="9"/>
      <c r="AZ657" s="9"/>
      <c r="BA657" s="9"/>
      <c r="BB657" s="9"/>
      <c r="BC657" s="23"/>
      <c r="BG657" s="4" t="s">
        <v>2</v>
      </c>
    </row>
    <row r="658" spans="1:59" x14ac:dyDescent="0.2">
      <c r="A658" s="23"/>
      <c r="B658" s="3"/>
      <c r="C658" s="79"/>
      <c r="G658" s="3"/>
      <c r="H658" s="31"/>
      <c r="I658" s="32"/>
      <c r="J658" s="32">
        <v>2</v>
      </c>
      <c r="K658" s="32"/>
      <c r="L658" s="32"/>
      <c r="M658" s="74">
        <f>+Q667/2</f>
        <v>12.5</v>
      </c>
      <c r="N658" s="74"/>
      <c r="O658" s="32"/>
      <c r="P658" s="32"/>
      <c r="Q658" s="6"/>
      <c r="R658" s="7"/>
      <c r="S658" s="80">
        <f>Q655*K667/(P645-Q655)</f>
        <v>29.542374734237598</v>
      </c>
      <c r="T658" s="81"/>
      <c r="U658" s="74" t="s">
        <v>0</v>
      </c>
      <c r="V658" s="32"/>
      <c r="W658" s="32"/>
      <c r="X658" s="32"/>
      <c r="Y658" s="32">
        <v>10</v>
      </c>
      <c r="Z658" s="32"/>
      <c r="AA658" s="33"/>
      <c r="AB658" s="3"/>
      <c r="AC658" s="3"/>
      <c r="AD658" s="3"/>
      <c r="AE658" s="3"/>
      <c r="AF658" s="3"/>
      <c r="AH658" s="3"/>
      <c r="AI658" s="3"/>
      <c r="AJ658" s="3"/>
      <c r="AK658" s="3"/>
      <c r="AL658" s="3"/>
      <c r="AM658" s="3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23"/>
    </row>
    <row r="659" spans="1:59" x14ac:dyDescent="0.2">
      <c r="A659" s="23"/>
      <c r="B659" s="3"/>
      <c r="D659" s="3"/>
      <c r="E659" s="3"/>
      <c r="F659" s="3"/>
      <c r="G659" s="3"/>
      <c r="H659" s="31"/>
      <c r="I659" s="32"/>
      <c r="J659" s="32"/>
      <c r="K659" s="32"/>
      <c r="L659" s="32"/>
      <c r="M659" s="32"/>
      <c r="N659" s="32"/>
      <c r="O659" s="32"/>
      <c r="P659" s="32"/>
      <c r="Q659" s="8"/>
      <c r="R659" s="10"/>
      <c r="S659" s="80"/>
      <c r="T659" s="81"/>
      <c r="U659" s="74"/>
      <c r="V659" s="32"/>
      <c r="W659" s="32"/>
      <c r="X659" s="32"/>
      <c r="Y659" s="32"/>
      <c r="Z659" s="32"/>
      <c r="AA659" s="33"/>
      <c r="AB659" s="3"/>
      <c r="AC659" s="79" t="s">
        <v>0</v>
      </c>
      <c r="AD659" s="3"/>
      <c r="AE659" s="79" t="s">
        <v>0</v>
      </c>
      <c r="AF659" s="3"/>
      <c r="AG659" s="3"/>
      <c r="AH659" s="3"/>
      <c r="AI659" s="3"/>
      <c r="AJ659" s="3"/>
      <c r="AK659" s="3"/>
      <c r="AL659" s="3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23"/>
      <c r="BG659" s="1" t="s">
        <v>20</v>
      </c>
    </row>
    <row r="660" spans="1:59" x14ac:dyDescent="0.2">
      <c r="A660" s="23"/>
      <c r="B660" s="3"/>
      <c r="D660" s="3"/>
      <c r="E660" s="3"/>
      <c r="F660" s="3"/>
      <c r="G660" s="3"/>
      <c r="H660" s="31"/>
      <c r="I660" s="32"/>
      <c r="J660" s="32"/>
      <c r="K660" s="32"/>
      <c r="L660" s="32"/>
      <c r="M660" s="32"/>
      <c r="N660" s="32"/>
      <c r="O660" s="32"/>
      <c r="P660" s="32"/>
      <c r="Q660" s="8"/>
      <c r="R660" s="10"/>
      <c r="S660" s="73">
        <f>(N669*SIN((1.5*AT645*360/(2*PI()*N669))*PI()/180))*((N669*COS((1.5*AT645*360/(2*PI()*N669))*PI()/180))+AC661)/((N669*SIN((1.5*AT645*360/(2*PI()*N669))*PI()/180))+2*AM647)-(N669*COS((1.5*AT645*360/(2*PI()*N669))*PI()/180))+M658-S658</f>
        <v>10.427667007756256</v>
      </c>
      <c r="T660" s="74"/>
      <c r="U660" s="74" t="s">
        <v>0</v>
      </c>
      <c r="V660" s="32"/>
      <c r="W660" s="32"/>
      <c r="X660" s="32"/>
      <c r="Y660" s="32"/>
      <c r="Z660" s="32"/>
      <c r="AA660" s="33"/>
      <c r="AB660" s="3"/>
      <c r="AC660" s="79"/>
      <c r="AD660" s="3"/>
      <c r="AE660" s="79"/>
      <c r="AF660" s="3"/>
      <c r="AK660" s="3"/>
      <c r="AL660" s="3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23"/>
    </row>
    <row r="661" spans="1:59" x14ac:dyDescent="0.2">
      <c r="A661" s="23"/>
      <c r="B661" s="3"/>
      <c r="G661" s="3"/>
      <c r="H661" s="31"/>
      <c r="I661" s="32"/>
      <c r="J661" s="32"/>
      <c r="K661" s="32"/>
      <c r="L661" s="32"/>
      <c r="M661" s="32"/>
      <c r="N661" s="32"/>
      <c r="O661" s="32"/>
      <c r="P661" s="32"/>
      <c r="Q661" s="8"/>
      <c r="R661" s="10"/>
      <c r="S661" s="73"/>
      <c r="T661" s="74"/>
      <c r="U661" s="74"/>
      <c r="V661" s="32"/>
      <c r="W661" s="32"/>
      <c r="X661" s="32"/>
      <c r="Y661" s="32"/>
      <c r="Z661" s="32"/>
      <c r="AA661" s="33"/>
      <c r="AB661" s="3"/>
      <c r="AC661" s="79">
        <f>(5.5*AT645)-(2*PI()*N669*90/360)</f>
        <v>51.117266307370002</v>
      </c>
      <c r="AD661" s="3"/>
      <c r="AE661" s="79">
        <f>+AC661+M658</f>
        <v>63.617266307370002</v>
      </c>
      <c r="AF661" s="3"/>
      <c r="AK661" s="3"/>
      <c r="AL661" s="3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23"/>
    </row>
    <row r="662" spans="1:59" x14ac:dyDescent="0.2">
      <c r="A662" s="23"/>
      <c r="B662" s="3"/>
      <c r="D662" s="71">
        <f>1*AT645*(I669+N669+AM647*5)/(N669+AM647*5)</f>
        <v>47.762759451730851</v>
      </c>
      <c r="E662" s="71"/>
      <c r="F662" s="3" t="s">
        <v>0</v>
      </c>
      <c r="G662" s="3"/>
      <c r="H662" s="31"/>
      <c r="I662" s="32"/>
      <c r="J662" s="32">
        <v>1</v>
      </c>
      <c r="K662" s="32"/>
      <c r="L662" s="32"/>
      <c r="M662" s="32"/>
      <c r="N662" s="32"/>
      <c r="O662" s="32"/>
      <c r="P662" s="32"/>
      <c r="Q662" s="8"/>
      <c r="R662" s="10"/>
      <c r="S662" s="73">
        <f>(N669*SIN((2.5*AT645*360/(2*PI()*N669))*PI()/180))*((N669*COS((2.5*AT645*360/(2*PI()*N669))*PI()/180))+AC661)/((N669*SIN((2.5*AT645*360/(2*PI()*N669))*PI()/180))+3*AM647)-(N669*COS((2.5*AT645*360/(2*PI()*N669))*PI()/180))+M658-S658-S660</f>
        <v>4.4900894797583888</v>
      </c>
      <c r="T662" s="74"/>
      <c r="U662" s="32" t="s">
        <v>0</v>
      </c>
      <c r="V662" s="32"/>
      <c r="W662" s="32"/>
      <c r="X662" s="32"/>
      <c r="Y662" s="32">
        <v>11</v>
      </c>
      <c r="Z662" s="32"/>
      <c r="AA662" s="33"/>
      <c r="AB662" s="3"/>
      <c r="AC662" s="79"/>
      <c r="AD662" s="3"/>
      <c r="AE662" s="79"/>
      <c r="AF662" s="3"/>
      <c r="AK662" s="3"/>
      <c r="AL662" s="3"/>
      <c r="AM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23"/>
    </row>
    <row r="663" spans="1:59" x14ac:dyDescent="0.2">
      <c r="A663" s="23"/>
      <c r="B663" s="3"/>
      <c r="C663" s="3"/>
      <c r="G663" s="3"/>
      <c r="H663" s="31"/>
      <c r="I663" s="32"/>
      <c r="J663" s="32"/>
      <c r="K663" s="32"/>
      <c r="L663" s="32"/>
      <c r="M663" s="32"/>
      <c r="N663" s="32"/>
      <c r="O663" s="32"/>
      <c r="P663" s="32"/>
      <c r="Q663" s="8"/>
      <c r="R663" s="10"/>
      <c r="S663" s="73">
        <f>(N669*SIN((3.5*AT645*360/(2*PI()*N669))*PI()/180))*((N669*COS((3.5*AT645*360/(2*PI()*N669))*PI()/180))+AC661)/((N669*SIN((3.5*AT645*360/(2*PI()*N669))*PI()/180))+4*AM647)-(N669*COS((3.5*AT645*360/(2*PI()*N669))*PI()/180))+M658-S658-S660-S662</f>
        <v>4.5967907117404962</v>
      </c>
      <c r="T663" s="74"/>
      <c r="U663" s="32" t="s">
        <v>0</v>
      </c>
      <c r="V663" s="32"/>
      <c r="W663" s="32"/>
      <c r="X663" s="32"/>
      <c r="Y663" s="32"/>
      <c r="Z663" s="32"/>
      <c r="AA663" s="33"/>
      <c r="AB663" s="3"/>
      <c r="AC663" s="79"/>
      <c r="AD663" s="3"/>
      <c r="AE663" s="79"/>
      <c r="AF663" s="3"/>
      <c r="AK663" s="3"/>
      <c r="AL663" s="3"/>
      <c r="AM663" s="9"/>
      <c r="AT663" s="9"/>
      <c r="AU663" s="9"/>
      <c r="AV663" s="9"/>
      <c r="AW663" s="9"/>
      <c r="AX663" s="9"/>
      <c r="AY663" s="9"/>
      <c r="AZ663" s="9"/>
      <c r="BA663" s="9"/>
      <c r="BB663" s="9"/>
      <c r="BC663" s="23"/>
    </row>
    <row r="664" spans="1:59" x14ac:dyDescent="0.2">
      <c r="A664" s="23"/>
      <c r="B664" s="3"/>
      <c r="C664" s="3"/>
      <c r="G664" s="3"/>
      <c r="H664" s="31"/>
      <c r="I664" s="32"/>
      <c r="J664" s="32"/>
      <c r="K664" s="32"/>
      <c r="L664" s="32"/>
      <c r="M664" s="32"/>
      <c r="N664" s="32"/>
      <c r="O664" s="32"/>
      <c r="P664" s="32"/>
      <c r="Q664" s="8"/>
      <c r="R664" s="10"/>
      <c r="S664" s="73">
        <f>+AC661+M658-S658-S660-S662-S663-S665</f>
        <v>6.0236787113853758</v>
      </c>
      <c r="T664" s="74"/>
      <c r="U664" s="32" t="s">
        <v>0</v>
      </c>
      <c r="V664" s="32"/>
      <c r="W664" s="32"/>
      <c r="X664" s="32"/>
      <c r="Y664" s="32"/>
      <c r="Z664" s="32"/>
      <c r="AA664" s="33"/>
      <c r="AB664" s="3"/>
      <c r="AF664" s="3"/>
      <c r="AK664" s="3"/>
      <c r="AL664" s="3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23"/>
    </row>
    <row r="665" spans="1:59" x14ac:dyDescent="0.2">
      <c r="A665" s="23"/>
      <c r="B665" s="3"/>
      <c r="C665" s="3"/>
      <c r="D665" s="3"/>
      <c r="E665" s="3"/>
      <c r="F665" s="3"/>
      <c r="G665" s="3"/>
      <c r="H665" s="35"/>
      <c r="I665" s="36"/>
      <c r="J665" s="36"/>
      <c r="K665" s="36"/>
      <c r="L665" s="36"/>
      <c r="M665" s="36"/>
      <c r="N665" s="36"/>
      <c r="O665" s="36"/>
      <c r="P665" s="36"/>
      <c r="Q665" s="11"/>
      <c r="R665" s="12"/>
      <c r="S665" s="75">
        <f>1*AT645-((D662)-1*AT645)*N669/I669</f>
        <v>8.5366656624918882</v>
      </c>
      <c r="T665" s="76"/>
      <c r="U665" s="36" t="s">
        <v>0</v>
      </c>
      <c r="V665" s="36"/>
      <c r="W665" s="36"/>
      <c r="X665" s="36"/>
      <c r="Y665" s="36"/>
      <c r="Z665" s="36"/>
      <c r="AA665" s="37"/>
      <c r="AB665" s="3"/>
      <c r="AD665" s="3"/>
      <c r="AE665" s="3"/>
      <c r="AF665" s="3"/>
      <c r="AG665" s="3"/>
      <c r="AH665" s="3"/>
      <c r="AI665" s="3"/>
      <c r="AJ665" s="3"/>
      <c r="AK665" s="3"/>
      <c r="AL665" s="3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23"/>
    </row>
    <row r="666" spans="1:59" x14ac:dyDescent="0.2">
      <c r="A666" s="2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X666" s="3"/>
      <c r="AY666" s="3"/>
      <c r="AZ666" s="3"/>
      <c r="BA666" s="3"/>
      <c r="BB666" s="3"/>
      <c r="BC666" s="5"/>
    </row>
    <row r="667" spans="1:59" x14ac:dyDescent="0.2">
      <c r="A667" s="23"/>
      <c r="B667" s="3"/>
      <c r="C667" s="3"/>
      <c r="D667" s="3"/>
      <c r="E667" s="3"/>
      <c r="F667" s="3"/>
      <c r="G667" s="3"/>
      <c r="H667" s="3"/>
      <c r="I667" s="3"/>
      <c r="J667" s="3"/>
      <c r="K667" s="78">
        <v>120</v>
      </c>
      <c r="L667" s="78"/>
      <c r="M667" s="3" t="s">
        <v>0</v>
      </c>
      <c r="N667" s="3"/>
      <c r="O667" s="3"/>
      <c r="P667" s="3"/>
      <c r="Q667" s="78">
        <v>25</v>
      </c>
      <c r="R667" s="78"/>
      <c r="S667" s="3" t="s">
        <v>0</v>
      </c>
      <c r="T667" s="3"/>
      <c r="U667" s="3"/>
      <c r="V667" s="71">
        <f>+K667</f>
        <v>120</v>
      </c>
      <c r="W667" s="71"/>
      <c r="X667" s="3" t="s">
        <v>0</v>
      </c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X667" s="3"/>
      <c r="AY667" s="3"/>
      <c r="AZ667" s="3"/>
      <c r="BA667" s="3"/>
      <c r="BB667" s="3"/>
      <c r="BC667" s="5"/>
    </row>
    <row r="668" spans="1:59" x14ac:dyDescent="0.2">
      <c r="A668" s="2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J668" s="1" t="s">
        <v>9</v>
      </c>
      <c r="AL668" s="77">
        <f>+AT645</f>
        <v>30</v>
      </c>
      <c r="AM668" s="77"/>
      <c r="AN668" s="1" t="s">
        <v>0</v>
      </c>
      <c r="AX668" s="3"/>
      <c r="AY668" s="3"/>
      <c r="AZ668" s="3"/>
      <c r="BA668" s="3"/>
      <c r="BB668" s="3"/>
      <c r="BC668" s="5"/>
    </row>
    <row r="669" spans="1:59" x14ac:dyDescent="0.2">
      <c r="A669" s="23"/>
      <c r="B669" s="3"/>
      <c r="C669" s="3"/>
      <c r="D669" s="3"/>
      <c r="E669" s="3"/>
      <c r="F669" s="3"/>
      <c r="G669" s="3"/>
      <c r="H669" s="3"/>
      <c r="I669" s="71">
        <f>+K667/2</f>
        <v>60</v>
      </c>
      <c r="J669" s="71"/>
      <c r="K669" s="3" t="s">
        <v>0</v>
      </c>
      <c r="L669" s="3"/>
      <c r="M669" s="3"/>
      <c r="N669" s="71">
        <f>+K667/2+Q667/2</f>
        <v>72.5</v>
      </c>
      <c r="O669" s="71"/>
      <c r="P669" s="3" t="s">
        <v>0</v>
      </c>
      <c r="Q669" s="3"/>
      <c r="R669" s="3"/>
      <c r="S669" s="3"/>
      <c r="T669" s="71">
        <f>+V667/2+Q667/2</f>
        <v>72.5</v>
      </c>
      <c r="U669" s="71"/>
      <c r="V669" s="3" t="s">
        <v>0</v>
      </c>
      <c r="W669" s="3"/>
      <c r="X669" s="3"/>
      <c r="Y669" s="71">
        <f>+V667/2</f>
        <v>60</v>
      </c>
      <c r="Z669" s="71"/>
      <c r="AA669" s="3" t="s">
        <v>0</v>
      </c>
      <c r="AB669" s="3"/>
      <c r="AC669" s="3"/>
      <c r="AD669" s="3"/>
      <c r="AE669" s="3"/>
      <c r="AF669" s="3"/>
      <c r="AG669" s="3"/>
      <c r="AH669" s="3"/>
      <c r="AX669" s="3"/>
      <c r="AY669" s="3"/>
      <c r="AZ669" s="3"/>
      <c r="BA669" s="3"/>
      <c r="BB669" s="3"/>
      <c r="BC669" s="5"/>
    </row>
    <row r="670" spans="1:59" x14ac:dyDescent="0.2">
      <c r="A670" s="2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X670" s="3"/>
      <c r="AY670" s="3"/>
      <c r="AZ670" s="3"/>
      <c r="BA670" s="3"/>
      <c r="BB670" s="3"/>
      <c r="BC670" s="5"/>
    </row>
    <row r="671" spans="1:59" x14ac:dyDescent="0.2">
      <c r="A671" s="23"/>
      <c r="B671" s="3"/>
      <c r="C671" s="3"/>
      <c r="D671" s="3"/>
      <c r="E671" s="3"/>
      <c r="F671" s="3"/>
      <c r="G671" s="3"/>
      <c r="H671" s="3"/>
      <c r="I671" s="3"/>
      <c r="J671" s="3"/>
      <c r="K671" s="72">
        <f>+K667+Q667/2</f>
        <v>132.5</v>
      </c>
      <c r="L671" s="72"/>
      <c r="M671" s="72"/>
      <c r="N671" s="3" t="s">
        <v>0</v>
      </c>
      <c r="O671" s="3"/>
      <c r="P671" s="3"/>
      <c r="Q671" s="3"/>
      <c r="R671" s="3"/>
      <c r="S671" s="3"/>
      <c r="T671" s="3"/>
      <c r="U671" s="71">
        <f>+K671</f>
        <v>132.5</v>
      </c>
      <c r="V671" s="71"/>
      <c r="W671" s="71"/>
      <c r="X671" s="3" t="s">
        <v>0</v>
      </c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X671" s="3"/>
      <c r="AY671" s="3"/>
      <c r="AZ671" s="3"/>
      <c r="BA671" s="3"/>
      <c r="BB671" s="3"/>
      <c r="BC671" s="5"/>
    </row>
    <row r="672" spans="1:59" x14ac:dyDescent="0.2">
      <c r="A672" s="2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 t="s">
        <v>21</v>
      </c>
      <c r="AP672" s="26"/>
      <c r="AQ672" s="26"/>
      <c r="AR672" s="25"/>
      <c r="AX672" s="3"/>
      <c r="AY672" s="3"/>
      <c r="AZ672" s="3"/>
      <c r="BA672" s="3"/>
      <c r="BB672" s="3"/>
      <c r="BC672" s="5"/>
    </row>
    <row r="673" spans="1:55" x14ac:dyDescent="0.2">
      <c r="A673" s="2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71">
        <f>+K667+Q667+V667</f>
        <v>265</v>
      </c>
      <c r="R673" s="71"/>
      <c r="S673" s="3" t="s">
        <v>0</v>
      </c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X673" s="3"/>
      <c r="AY673" s="3"/>
      <c r="AZ673" s="3"/>
      <c r="BA673" s="3"/>
      <c r="BB673" s="3"/>
      <c r="BC673" s="5"/>
    </row>
    <row r="674" spans="1:55" ht="12" thickBot="1" x14ac:dyDescent="0.25">
      <c r="A674" s="23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5"/>
    </row>
  </sheetData>
  <sheetProtection algorithmName="SHA-512" hashValue="kKRfy24/YzHhvgo+LH+aEuqXRucQGF/ivSXNfZoKxc4DFbTIqOybv34546XdYvHYMkawTtjyxduQVgf3tPiTTQ==" saltValue="dive2d9/tTdJpyKu40ySCw==" spinCount="100000" sheet="1" objects="1" scenarios="1"/>
  <mergeCells count="993">
    <mergeCell ref="AK192:AL192"/>
    <mergeCell ref="K191:L191"/>
    <mergeCell ref="Q191:R191"/>
    <mergeCell ref="V191:W191"/>
    <mergeCell ref="I193:J193"/>
    <mergeCell ref="N193:O193"/>
    <mergeCell ref="T193:U193"/>
    <mergeCell ref="Y193:Z193"/>
    <mergeCell ref="Q197:R197"/>
    <mergeCell ref="K195:M195"/>
    <mergeCell ref="U195:W195"/>
    <mergeCell ref="D179:E179"/>
    <mergeCell ref="S182:T182"/>
    <mergeCell ref="D185:E185"/>
    <mergeCell ref="S186:T186"/>
    <mergeCell ref="D188:E188"/>
    <mergeCell ref="C174:C176"/>
    <mergeCell ref="D172:E172"/>
    <mergeCell ref="AE176:AE177"/>
    <mergeCell ref="S174:T174"/>
    <mergeCell ref="AC176:AC177"/>
    <mergeCell ref="S175:T175"/>
    <mergeCell ref="AE178:AE180"/>
    <mergeCell ref="S176:T176"/>
    <mergeCell ref="AC178:AC180"/>
    <mergeCell ref="D176:E176"/>
    <mergeCell ref="U178:U179"/>
    <mergeCell ref="S188:T188"/>
    <mergeCell ref="S184:T184"/>
    <mergeCell ref="D182:E182"/>
    <mergeCell ref="S180:T180"/>
    <mergeCell ref="S177:T177"/>
    <mergeCell ref="S172:T172"/>
    <mergeCell ref="S178:T179"/>
    <mergeCell ref="AC164:AC166"/>
    <mergeCell ref="AE164:AE166"/>
    <mergeCell ref="BI164:BK164"/>
    <mergeCell ref="BM164:BO164"/>
    <mergeCell ref="BQ164:BS164"/>
    <mergeCell ref="C172:C173"/>
    <mergeCell ref="D169:E169"/>
    <mergeCell ref="M169:N169"/>
    <mergeCell ref="S169:T170"/>
    <mergeCell ref="U169:U170"/>
    <mergeCell ref="D165:E165"/>
    <mergeCell ref="AP157:AQ157"/>
    <mergeCell ref="BL157:BM157"/>
    <mergeCell ref="AI159:AK159"/>
    <mergeCell ref="D161:E161"/>
    <mergeCell ref="Q161:R161"/>
    <mergeCell ref="BI161:BK161"/>
    <mergeCell ref="AC162:AC163"/>
    <mergeCell ref="AE162:AE163"/>
    <mergeCell ref="BI162:BK162"/>
    <mergeCell ref="BL163:BM163"/>
    <mergeCell ref="N161:O161"/>
    <mergeCell ref="U135:U136"/>
    <mergeCell ref="S131:T131"/>
    <mergeCell ref="S140:T141"/>
    <mergeCell ref="U140:U141"/>
    <mergeCell ref="B152:BC152"/>
    <mergeCell ref="K154:M154"/>
    <mergeCell ref="U154:W154"/>
    <mergeCell ref="G156:H156"/>
    <mergeCell ref="J156:K156"/>
    <mergeCell ref="M156:N156"/>
    <mergeCell ref="P156:Q156"/>
    <mergeCell ref="R156:S156"/>
    <mergeCell ref="T156:U156"/>
    <mergeCell ref="X156:Y156"/>
    <mergeCell ref="AA156:AB156"/>
    <mergeCell ref="V143:W143"/>
    <mergeCell ref="AK143:AL143"/>
    <mergeCell ref="I145:J145"/>
    <mergeCell ref="N145:O145"/>
    <mergeCell ref="T145:U145"/>
    <mergeCell ref="Y145:Z145"/>
    <mergeCell ref="K147:M147"/>
    <mergeCell ref="U147:W147"/>
    <mergeCell ref="Q149:R149"/>
    <mergeCell ref="D134:E135"/>
    <mergeCell ref="F134:F135"/>
    <mergeCell ref="D129:E129"/>
    <mergeCell ref="D132:E132"/>
    <mergeCell ref="D137:E137"/>
    <mergeCell ref="S124:T124"/>
    <mergeCell ref="D140:E140"/>
    <mergeCell ref="K143:L143"/>
    <mergeCell ref="Q143:R143"/>
    <mergeCell ref="S133:T133"/>
    <mergeCell ref="S138:T138"/>
    <mergeCell ref="S135:T136"/>
    <mergeCell ref="S127:T128"/>
    <mergeCell ref="U127:U128"/>
    <mergeCell ref="AC129:AC131"/>
    <mergeCell ref="AE129:AE131"/>
    <mergeCell ref="S129:T129"/>
    <mergeCell ref="BQ115:BS115"/>
    <mergeCell ref="S122:T122"/>
    <mergeCell ref="S125:T126"/>
    <mergeCell ref="U125:U126"/>
    <mergeCell ref="C123:C124"/>
    <mergeCell ref="D120:E120"/>
    <mergeCell ref="M120:N120"/>
    <mergeCell ref="S120:T121"/>
    <mergeCell ref="U120:U121"/>
    <mergeCell ref="C125:C127"/>
    <mergeCell ref="D124:E124"/>
    <mergeCell ref="S123:T123"/>
    <mergeCell ref="AC127:AC128"/>
    <mergeCell ref="AE127:AE128"/>
    <mergeCell ref="D127:E127"/>
    <mergeCell ref="BL108:BM108"/>
    <mergeCell ref="AH109:AJ109"/>
    <mergeCell ref="D111:E111"/>
    <mergeCell ref="BI112:BK112"/>
    <mergeCell ref="AC113:AC114"/>
    <mergeCell ref="AE113:AE114"/>
    <mergeCell ref="BI113:BK113"/>
    <mergeCell ref="BL114:BM114"/>
    <mergeCell ref="D115:E115"/>
    <mergeCell ref="AC115:AC117"/>
    <mergeCell ref="AE115:AE117"/>
    <mergeCell ref="BI115:BK115"/>
    <mergeCell ref="BM115:BO115"/>
    <mergeCell ref="B103:BC103"/>
    <mergeCell ref="K105:M105"/>
    <mergeCell ref="U105:W105"/>
    <mergeCell ref="H107:I107"/>
    <mergeCell ref="K107:L107"/>
    <mergeCell ref="O107:P107"/>
    <mergeCell ref="S107:T107"/>
    <mergeCell ref="V107:W107"/>
    <mergeCell ref="Z107:AA107"/>
    <mergeCell ref="AO107:AP107"/>
    <mergeCell ref="I669:J669"/>
    <mergeCell ref="N669:O669"/>
    <mergeCell ref="T669:U669"/>
    <mergeCell ref="Y669:Z669"/>
    <mergeCell ref="K671:M671"/>
    <mergeCell ref="U671:W671"/>
    <mergeCell ref="S664:T664"/>
    <mergeCell ref="AC653:AC655"/>
    <mergeCell ref="AE653:AE655"/>
    <mergeCell ref="BI653:BK653"/>
    <mergeCell ref="BM653:BO653"/>
    <mergeCell ref="Q673:R673"/>
    <mergeCell ref="S665:T665"/>
    <mergeCell ref="K667:L667"/>
    <mergeCell ref="Q667:R667"/>
    <mergeCell ref="V667:W667"/>
    <mergeCell ref="AL668:AM668"/>
    <mergeCell ref="BQ653:BS653"/>
    <mergeCell ref="AE659:AE660"/>
    <mergeCell ref="AE661:AE663"/>
    <mergeCell ref="C654:C655"/>
    <mergeCell ref="D656:E656"/>
    <mergeCell ref="C656:C658"/>
    <mergeCell ref="M658:N658"/>
    <mergeCell ref="S658:T659"/>
    <mergeCell ref="U658:U659"/>
    <mergeCell ref="S660:T661"/>
    <mergeCell ref="U660:U661"/>
    <mergeCell ref="AC659:AC660"/>
    <mergeCell ref="AC661:AC663"/>
    <mergeCell ref="S663:T663"/>
    <mergeCell ref="D662:E662"/>
    <mergeCell ref="S662:T662"/>
    <mergeCell ref="BL646:BM646"/>
    <mergeCell ref="AM647:AO647"/>
    <mergeCell ref="D648:E648"/>
    <mergeCell ref="Q650:R650"/>
    <mergeCell ref="BI650:BK650"/>
    <mergeCell ref="D651:E651"/>
    <mergeCell ref="AC651:AC652"/>
    <mergeCell ref="AE651:AE652"/>
    <mergeCell ref="BI651:BK651"/>
    <mergeCell ref="BL652:BM652"/>
    <mergeCell ref="K636:M636"/>
    <mergeCell ref="U636:W636"/>
    <mergeCell ref="Q638:R638"/>
    <mergeCell ref="S630:T630"/>
    <mergeCell ref="B641:BC641"/>
    <mergeCell ref="K643:M643"/>
    <mergeCell ref="U643:W643"/>
    <mergeCell ref="H645:I645"/>
    <mergeCell ref="L645:M645"/>
    <mergeCell ref="P645:Q645"/>
    <mergeCell ref="R645:S645"/>
    <mergeCell ref="U645:V645"/>
    <mergeCell ref="Y645:Z645"/>
    <mergeCell ref="AT645:AU645"/>
    <mergeCell ref="K632:L632"/>
    <mergeCell ref="Q632:R632"/>
    <mergeCell ref="V632:W632"/>
    <mergeCell ref="AL632:AM632"/>
    <mergeCell ref="I634:J634"/>
    <mergeCell ref="N634:O634"/>
    <mergeCell ref="T634:U634"/>
    <mergeCell ref="Y634:Z634"/>
    <mergeCell ref="D628:E628"/>
    <mergeCell ref="S627:T627"/>
    <mergeCell ref="AC626:AC628"/>
    <mergeCell ref="AE626:AE628"/>
    <mergeCell ref="S628:T628"/>
    <mergeCell ref="S629:T629"/>
    <mergeCell ref="BQ618:BS618"/>
    <mergeCell ref="C619:C620"/>
    <mergeCell ref="C621:C623"/>
    <mergeCell ref="D623:E623"/>
    <mergeCell ref="M623:N623"/>
    <mergeCell ref="S623:T624"/>
    <mergeCell ref="U623:U624"/>
    <mergeCell ref="S625:T626"/>
    <mergeCell ref="U625:U626"/>
    <mergeCell ref="AC624:AC625"/>
    <mergeCell ref="AE624:AE625"/>
    <mergeCell ref="AH611:AJ611"/>
    <mergeCell ref="BL611:BM611"/>
    <mergeCell ref="D614:E614"/>
    <mergeCell ref="BI615:BK615"/>
    <mergeCell ref="AC616:AC617"/>
    <mergeCell ref="AE616:AE617"/>
    <mergeCell ref="BI616:BK616"/>
    <mergeCell ref="BL617:BM617"/>
    <mergeCell ref="D618:E618"/>
    <mergeCell ref="AC618:AC620"/>
    <mergeCell ref="AE618:AE620"/>
    <mergeCell ref="BI618:BK618"/>
    <mergeCell ref="BM618:BO618"/>
    <mergeCell ref="B606:BC606"/>
    <mergeCell ref="K608:M608"/>
    <mergeCell ref="U608:W608"/>
    <mergeCell ref="AO609:AP609"/>
    <mergeCell ref="H610:I610"/>
    <mergeCell ref="K610:L610"/>
    <mergeCell ref="O610:P610"/>
    <mergeCell ref="S610:T610"/>
    <mergeCell ref="V610:W610"/>
    <mergeCell ref="Z610:AA610"/>
    <mergeCell ref="Q242:R242"/>
    <mergeCell ref="D233:E233"/>
    <mergeCell ref="S233:T234"/>
    <mergeCell ref="U233:U234"/>
    <mergeCell ref="K236:L236"/>
    <mergeCell ref="Q236:R236"/>
    <mergeCell ref="V236:W236"/>
    <mergeCell ref="AL236:AM236"/>
    <mergeCell ref="I238:J238"/>
    <mergeCell ref="N238:O238"/>
    <mergeCell ref="T238:U238"/>
    <mergeCell ref="Y238:Z238"/>
    <mergeCell ref="K240:M240"/>
    <mergeCell ref="U240:W240"/>
    <mergeCell ref="D227:E227"/>
    <mergeCell ref="S227:T228"/>
    <mergeCell ref="U227:U228"/>
    <mergeCell ref="D229:E229"/>
    <mergeCell ref="S229:T230"/>
    <mergeCell ref="U229:U230"/>
    <mergeCell ref="D231:E231"/>
    <mergeCell ref="S231:T232"/>
    <mergeCell ref="U231:U232"/>
    <mergeCell ref="BQ212:BS212"/>
    <mergeCell ref="C217:C218"/>
    <mergeCell ref="D217:E217"/>
    <mergeCell ref="M217:N217"/>
    <mergeCell ref="S217:T218"/>
    <mergeCell ref="U217:U218"/>
    <mergeCell ref="C219:C221"/>
    <mergeCell ref="S219:T220"/>
    <mergeCell ref="U219:U220"/>
    <mergeCell ref="AE222:AE223"/>
    <mergeCell ref="D221:E221"/>
    <mergeCell ref="S221:T221"/>
    <mergeCell ref="AC222:AC223"/>
    <mergeCell ref="S222:T222"/>
    <mergeCell ref="AE224:AE226"/>
    <mergeCell ref="S223:T223"/>
    <mergeCell ref="AC224:AC226"/>
    <mergeCell ref="D224:E224"/>
    <mergeCell ref="S224:T225"/>
    <mergeCell ref="U224:U225"/>
    <mergeCell ref="S226:T226"/>
    <mergeCell ref="BL205:BM205"/>
    <mergeCell ref="AH206:AJ206"/>
    <mergeCell ref="D208:E208"/>
    <mergeCell ref="BI209:BK209"/>
    <mergeCell ref="AC210:AC211"/>
    <mergeCell ref="AE210:AE211"/>
    <mergeCell ref="BI210:BK210"/>
    <mergeCell ref="BL211:BM211"/>
    <mergeCell ref="D212:E212"/>
    <mergeCell ref="AC212:AC214"/>
    <mergeCell ref="AE212:AE214"/>
    <mergeCell ref="BI212:BK212"/>
    <mergeCell ref="BM212:BO212"/>
    <mergeCell ref="B200:BC200"/>
    <mergeCell ref="K202:M202"/>
    <mergeCell ref="U202:W202"/>
    <mergeCell ref="H204:I204"/>
    <mergeCell ref="K204:L204"/>
    <mergeCell ref="O204:P204"/>
    <mergeCell ref="S204:T204"/>
    <mergeCell ref="V204:W204"/>
    <mergeCell ref="Z204:AA204"/>
    <mergeCell ref="AO204:AP204"/>
    <mergeCell ref="I367:J367"/>
    <mergeCell ref="N367:O367"/>
    <mergeCell ref="T367:U367"/>
    <mergeCell ref="Y367:Z367"/>
    <mergeCell ref="K369:M369"/>
    <mergeCell ref="U369:W369"/>
    <mergeCell ref="Q371:R371"/>
    <mergeCell ref="S363:T363"/>
    <mergeCell ref="D362:E362"/>
    <mergeCell ref="U356:U357"/>
    <mergeCell ref="S358:T358"/>
    <mergeCell ref="D359:E359"/>
    <mergeCell ref="S359:T360"/>
    <mergeCell ref="U359:U360"/>
    <mergeCell ref="S361:T361"/>
    <mergeCell ref="AK366:AL366"/>
    <mergeCell ref="K365:L365"/>
    <mergeCell ref="Q365:R365"/>
    <mergeCell ref="V365:W365"/>
    <mergeCell ref="D344:E344"/>
    <mergeCell ref="AC344:AC346"/>
    <mergeCell ref="AE344:AE346"/>
    <mergeCell ref="BI344:BK344"/>
    <mergeCell ref="BM344:BO344"/>
    <mergeCell ref="BQ344:BS344"/>
    <mergeCell ref="C348:C349"/>
    <mergeCell ref="D349:E349"/>
    <mergeCell ref="M349:N349"/>
    <mergeCell ref="S349:T350"/>
    <mergeCell ref="U349:U350"/>
    <mergeCell ref="C350:C352"/>
    <mergeCell ref="S351:T352"/>
    <mergeCell ref="U351:U352"/>
    <mergeCell ref="D352:E352"/>
    <mergeCell ref="AE352:AE353"/>
    <mergeCell ref="S353:T353"/>
    <mergeCell ref="AC353:AC354"/>
    <mergeCell ref="S354:T354"/>
    <mergeCell ref="AE354:AE356"/>
    <mergeCell ref="S355:T355"/>
    <mergeCell ref="AC355:AC357"/>
    <mergeCell ref="D356:E356"/>
    <mergeCell ref="S356:T357"/>
    <mergeCell ref="BL337:BM337"/>
    <mergeCell ref="AP337:AQ337"/>
    <mergeCell ref="D340:E340"/>
    <mergeCell ref="Q341:R341"/>
    <mergeCell ref="AI339:AK339"/>
    <mergeCell ref="BI341:BK341"/>
    <mergeCell ref="AC342:AC343"/>
    <mergeCell ref="AE342:AE343"/>
    <mergeCell ref="BI342:BK342"/>
    <mergeCell ref="BL343:BM343"/>
    <mergeCell ref="B332:BC332"/>
    <mergeCell ref="K334:M334"/>
    <mergeCell ref="U334:W334"/>
    <mergeCell ref="G336:H336"/>
    <mergeCell ref="J336:K336"/>
    <mergeCell ref="M336:N336"/>
    <mergeCell ref="P336:Q336"/>
    <mergeCell ref="R336:S336"/>
    <mergeCell ref="T336:U336"/>
    <mergeCell ref="X336:Y336"/>
    <mergeCell ref="AA336:AB336"/>
    <mergeCell ref="I325:J325"/>
    <mergeCell ref="N325:O325"/>
    <mergeCell ref="T325:U325"/>
    <mergeCell ref="Y325:Z325"/>
    <mergeCell ref="K327:M327"/>
    <mergeCell ref="U327:W327"/>
    <mergeCell ref="Q329:R329"/>
    <mergeCell ref="S320:T321"/>
    <mergeCell ref="U320:U321"/>
    <mergeCell ref="S315:T315"/>
    <mergeCell ref="D316:E316"/>
    <mergeCell ref="S316:T317"/>
    <mergeCell ref="U316:U317"/>
    <mergeCell ref="D318:E318"/>
    <mergeCell ref="S318:T319"/>
    <mergeCell ref="U318:U319"/>
    <mergeCell ref="AL324:AM324"/>
    <mergeCell ref="K323:L323"/>
    <mergeCell ref="Q323:R323"/>
    <mergeCell ref="V323:W323"/>
    <mergeCell ref="D320:E320"/>
    <mergeCell ref="C308:C310"/>
    <mergeCell ref="S308:T309"/>
    <mergeCell ref="U308:U309"/>
    <mergeCell ref="AE309:AE310"/>
    <mergeCell ref="D310:E310"/>
    <mergeCell ref="S310:T310"/>
    <mergeCell ref="AC310:AC311"/>
    <mergeCell ref="S311:T311"/>
    <mergeCell ref="AE311:AE313"/>
    <mergeCell ref="S312:T312"/>
    <mergeCell ref="AC312:AC314"/>
    <mergeCell ref="D313:E313"/>
    <mergeCell ref="S313:T314"/>
    <mergeCell ref="U313:U314"/>
    <mergeCell ref="D301:E301"/>
    <mergeCell ref="AC301:AC303"/>
    <mergeCell ref="AE301:AE303"/>
    <mergeCell ref="BI301:BK301"/>
    <mergeCell ref="BM301:BO301"/>
    <mergeCell ref="BQ301:BS301"/>
    <mergeCell ref="C306:C307"/>
    <mergeCell ref="D306:E306"/>
    <mergeCell ref="M306:N306"/>
    <mergeCell ref="S306:T307"/>
    <mergeCell ref="U306:U307"/>
    <mergeCell ref="BL294:BM294"/>
    <mergeCell ref="AO293:AP293"/>
    <mergeCell ref="D297:E297"/>
    <mergeCell ref="AH295:AJ295"/>
    <mergeCell ref="BI298:BK298"/>
    <mergeCell ref="AC299:AC300"/>
    <mergeCell ref="AE299:AE300"/>
    <mergeCell ref="BI299:BK299"/>
    <mergeCell ref="BL300:BM300"/>
    <mergeCell ref="K601:M601"/>
    <mergeCell ref="U601:W601"/>
    <mergeCell ref="Q603:R603"/>
    <mergeCell ref="B289:BC289"/>
    <mergeCell ref="K291:M291"/>
    <mergeCell ref="U291:W291"/>
    <mergeCell ref="H293:I293"/>
    <mergeCell ref="K293:L293"/>
    <mergeCell ref="O293:P293"/>
    <mergeCell ref="S293:T293"/>
    <mergeCell ref="V293:W293"/>
    <mergeCell ref="Z293:AA293"/>
    <mergeCell ref="AL597:AM597"/>
    <mergeCell ref="K597:L597"/>
    <mergeCell ref="Q597:R597"/>
    <mergeCell ref="V597:W597"/>
    <mergeCell ref="I599:J599"/>
    <mergeCell ref="N599:O599"/>
    <mergeCell ref="T599:U599"/>
    <mergeCell ref="Y599:Z599"/>
    <mergeCell ref="S591:T591"/>
    <mergeCell ref="AC590:AC592"/>
    <mergeCell ref="AE590:AE592"/>
    <mergeCell ref="D593:E593"/>
    <mergeCell ref="S592:T592"/>
    <mergeCell ref="S593:T594"/>
    <mergeCell ref="U593:U594"/>
    <mergeCell ref="S595:T595"/>
    <mergeCell ref="BQ581:BS581"/>
    <mergeCell ref="C583:C584"/>
    <mergeCell ref="D584:E584"/>
    <mergeCell ref="C585:C587"/>
    <mergeCell ref="M586:N586"/>
    <mergeCell ref="S586:T587"/>
    <mergeCell ref="U586:U587"/>
    <mergeCell ref="S588:T589"/>
    <mergeCell ref="U588:U589"/>
    <mergeCell ref="D589:E589"/>
    <mergeCell ref="AC588:AC589"/>
    <mergeCell ref="AE588:AE589"/>
    <mergeCell ref="S590:T590"/>
    <mergeCell ref="D576:E576"/>
    <mergeCell ref="Q578:R578"/>
    <mergeCell ref="BI578:BK578"/>
    <mergeCell ref="D579:E579"/>
    <mergeCell ref="AC579:AC580"/>
    <mergeCell ref="AE579:AE580"/>
    <mergeCell ref="BI579:BK579"/>
    <mergeCell ref="BL580:BM580"/>
    <mergeCell ref="AC581:AC583"/>
    <mergeCell ref="AE581:AE583"/>
    <mergeCell ref="BI581:BK581"/>
    <mergeCell ref="BM581:BO581"/>
    <mergeCell ref="H573:I573"/>
    <mergeCell ref="L573:M573"/>
    <mergeCell ref="P573:Q573"/>
    <mergeCell ref="R573:S573"/>
    <mergeCell ref="U573:V573"/>
    <mergeCell ref="Y573:Z573"/>
    <mergeCell ref="AT573:AU573"/>
    <mergeCell ref="BL574:BM574"/>
    <mergeCell ref="AM575:AO575"/>
    <mergeCell ref="K564:M564"/>
    <mergeCell ref="U564:W564"/>
    <mergeCell ref="Q566:R566"/>
    <mergeCell ref="B569:BC569"/>
    <mergeCell ref="K571:M571"/>
    <mergeCell ref="U571:W571"/>
    <mergeCell ref="S558:T558"/>
    <mergeCell ref="AL560:AM560"/>
    <mergeCell ref="K560:L560"/>
    <mergeCell ref="Q560:R560"/>
    <mergeCell ref="V560:W560"/>
    <mergeCell ref="I562:J562"/>
    <mergeCell ref="N562:O562"/>
    <mergeCell ref="T562:U562"/>
    <mergeCell ref="Y562:Z562"/>
    <mergeCell ref="D556:E556"/>
    <mergeCell ref="S556:T557"/>
    <mergeCell ref="U556:U557"/>
    <mergeCell ref="D544:E544"/>
    <mergeCell ref="AC544:AC546"/>
    <mergeCell ref="AE544:AE546"/>
    <mergeCell ref="BI544:BK544"/>
    <mergeCell ref="BM544:BO544"/>
    <mergeCell ref="BQ544:BS544"/>
    <mergeCell ref="S551:T552"/>
    <mergeCell ref="U551:U552"/>
    <mergeCell ref="AE551:AE552"/>
    <mergeCell ref="D553:E553"/>
    <mergeCell ref="S553:T553"/>
    <mergeCell ref="AC551:AC552"/>
    <mergeCell ref="S554:T554"/>
    <mergeCell ref="AE553:AE555"/>
    <mergeCell ref="S555:T555"/>
    <mergeCell ref="AC553:AC555"/>
    <mergeCell ref="C546:C547"/>
    <mergeCell ref="D549:E549"/>
    <mergeCell ref="M549:N549"/>
    <mergeCell ref="S549:T550"/>
    <mergeCell ref="U549:U550"/>
    <mergeCell ref="BL537:BM537"/>
    <mergeCell ref="AO535:AP535"/>
    <mergeCell ref="D540:E540"/>
    <mergeCell ref="AH537:AJ537"/>
    <mergeCell ref="BI541:BK541"/>
    <mergeCell ref="AC542:AC543"/>
    <mergeCell ref="AE542:AE543"/>
    <mergeCell ref="BI542:BK542"/>
    <mergeCell ref="BL543:BM543"/>
    <mergeCell ref="C548:C550"/>
    <mergeCell ref="B532:BC532"/>
    <mergeCell ref="K534:M534"/>
    <mergeCell ref="U534:W534"/>
    <mergeCell ref="H536:I536"/>
    <mergeCell ref="K536:L536"/>
    <mergeCell ref="O536:P536"/>
    <mergeCell ref="S536:T536"/>
    <mergeCell ref="V536:W536"/>
    <mergeCell ref="Z536:AA536"/>
    <mergeCell ref="AL447:AM447"/>
    <mergeCell ref="AE425:AE426"/>
    <mergeCell ref="AE427:AE429"/>
    <mergeCell ref="AE384:AE385"/>
    <mergeCell ref="AE386:AE388"/>
    <mergeCell ref="D386:E386"/>
    <mergeCell ref="AL404:AM404"/>
    <mergeCell ref="Q424:R424"/>
    <mergeCell ref="D403:E403"/>
    <mergeCell ref="S403:T404"/>
    <mergeCell ref="U403:U404"/>
    <mergeCell ref="Q406:R406"/>
    <mergeCell ref="K406:L406"/>
    <mergeCell ref="N408:O408"/>
    <mergeCell ref="V406:W406"/>
    <mergeCell ref="AC395:AC396"/>
    <mergeCell ref="D398:E398"/>
    <mergeCell ref="AC397:AC399"/>
    <mergeCell ref="D401:E401"/>
    <mergeCell ref="S401:T402"/>
    <mergeCell ref="U401:U402"/>
    <mergeCell ref="D395:E395"/>
    <mergeCell ref="U410:W410"/>
    <mergeCell ref="M391:N391"/>
    <mergeCell ref="AC384:AC385"/>
    <mergeCell ref="S391:T392"/>
    <mergeCell ref="U391:U392"/>
    <mergeCell ref="S400:T400"/>
    <mergeCell ref="S393:T394"/>
    <mergeCell ref="U393:U394"/>
    <mergeCell ref="S395:T395"/>
    <mergeCell ref="S396:T396"/>
    <mergeCell ref="S397:T397"/>
    <mergeCell ref="S398:T399"/>
    <mergeCell ref="U398:U399"/>
    <mergeCell ref="AC386:AC388"/>
    <mergeCell ref="K378:L378"/>
    <mergeCell ref="O378:P378"/>
    <mergeCell ref="V378:W378"/>
    <mergeCell ref="C390:C391"/>
    <mergeCell ref="D391:E391"/>
    <mergeCell ref="C392:C394"/>
    <mergeCell ref="H378:I378"/>
    <mergeCell ref="S378:T378"/>
    <mergeCell ref="Z378:AA378"/>
    <mergeCell ref="D382:E382"/>
    <mergeCell ref="BQ386:BS386"/>
    <mergeCell ref="AE394:AE395"/>
    <mergeCell ref="AE396:AE398"/>
    <mergeCell ref="BL379:BM379"/>
    <mergeCell ref="BI383:BK383"/>
    <mergeCell ref="BI384:BK384"/>
    <mergeCell ref="BL385:BM385"/>
    <mergeCell ref="BI386:BK386"/>
    <mergeCell ref="BM386:BO386"/>
    <mergeCell ref="AH383:AJ383"/>
    <mergeCell ref="AO381:AP381"/>
    <mergeCell ref="T408:U408"/>
    <mergeCell ref="D427:E427"/>
    <mergeCell ref="AC427:AC429"/>
    <mergeCell ref="BI427:BK427"/>
    <mergeCell ref="BM427:BO427"/>
    <mergeCell ref="BQ427:BS427"/>
    <mergeCell ref="C430:C431"/>
    <mergeCell ref="D432:E432"/>
    <mergeCell ref="M432:N432"/>
    <mergeCell ref="S432:T433"/>
    <mergeCell ref="U432:U433"/>
    <mergeCell ref="BL420:BM420"/>
    <mergeCell ref="AQ419:AR419"/>
    <mergeCell ref="D423:E423"/>
    <mergeCell ref="AJ421:AL421"/>
    <mergeCell ref="BI424:BK424"/>
    <mergeCell ref="AC425:AC426"/>
    <mergeCell ref="BI425:BK425"/>
    <mergeCell ref="BL426:BM426"/>
    <mergeCell ref="K417:M417"/>
    <mergeCell ref="U417:W417"/>
    <mergeCell ref="AE435:AE436"/>
    <mergeCell ref="D435:E435"/>
    <mergeCell ref="S436:T436"/>
    <mergeCell ref="AC436:AC437"/>
    <mergeCell ref="S437:T437"/>
    <mergeCell ref="AE437:AE439"/>
    <mergeCell ref="S438:T438"/>
    <mergeCell ref="AC438:AC440"/>
    <mergeCell ref="D439:E439"/>
    <mergeCell ref="S439:T440"/>
    <mergeCell ref="U439:U440"/>
    <mergeCell ref="K450:M450"/>
    <mergeCell ref="U450:W450"/>
    <mergeCell ref="Q452:R452"/>
    <mergeCell ref="S444:T444"/>
    <mergeCell ref="S441:T441"/>
    <mergeCell ref="D442:E442"/>
    <mergeCell ref="S442:T443"/>
    <mergeCell ref="U442:U443"/>
    <mergeCell ref="K446:L446"/>
    <mergeCell ref="Q446:R446"/>
    <mergeCell ref="B374:BC374"/>
    <mergeCell ref="K376:M376"/>
    <mergeCell ref="U376:W376"/>
    <mergeCell ref="V446:W446"/>
    <mergeCell ref="I448:J448"/>
    <mergeCell ref="N448:O448"/>
    <mergeCell ref="T448:U448"/>
    <mergeCell ref="Y448:Z448"/>
    <mergeCell ref="G419:H419"/>
    <mergeCell ref="M419:N419"/>
    <mergeCell ref="P419:Q419"/>
    <mergeCell ref="R419:S419"/>
    <mergeCell ref="T419:U419"/>
    <mergeCell ref="AA419:AB419"/>
    <mergeCell ref="J419:K419"/>
    <mergeCell ref="X419:Y419"/>
    <mergeCell ref="Q412:R412"/>
    <mergeCell ref="I408:J408"/>
    <mergeCell ref="Y408:Z408"/>
    <mergeCell ref="K410:M410"/>
    <mergeCell ref="B415:BC415"/>
    <mergeCell ref="C432:C434"/>
    <mergeCell ref="S434:T435"/>
    <mergeCell ref="U434:U435"/>
    <mergeCell ref="B455:BC455"/>
    <mergeCell ref="K457:M457"/>
    <mergeCell ref="U457:W457"/>
    <mergeCell ref="H459:I459"/>
    <mergeCell ref="K459:L459"/>
    <mergeCell ref="O459:P459"/>
    <mergeCell ref="S459:T459"/>
    <mergeCell ref="V459:W459"/>
    <mergeCell ref="Z459:AA459"/>
    <mergeCell ref="BL460:BM460"/>
    <mergeCell ref="AP459:AQ459"/>
    <mergeCell ref="D463:E463"/>
    <mergeCell ref="AI461:AK461"/>
    <mergeCell ref="BI464:BK464"/>
    <mergeCell ref="AC465:AC466"/>
    <mergeCell ref="AE465:AE466"/>
    <mergeCell ref="BI465:BK465"/>
    <mergeCell ref="BL466:BM466"/>
    <mergeCell ref="D467:E467"/>
    <mergeCell ref="AC467:AC469"/>
    <mergeCell ref="AE467:AE469"/>
    <mergeCell ref="BI467:BK467"/>
    <mergeCell ref="BM467:BO467"/>
    <mergeCell ref="BQ467:BS467"/>
    <mergeCell ref="C470:C471"/>
    <mergeCell ref="D472:E472"/>
    <mergeCell ref="M472:N472"/>
    <mergeCell ref="S472:T473"/>
    <mergeCell ref="U472:U473"/>
    <mergeCell ref="D482:E482"/>
    <mergeCell ref="AL483:AM483"/>
    <mergeCell ref="C472:C474"/>
    <mergeCell ref="S474:T475"/>
    <mergeCell ref="U474:U475"/>
    <mergeCell ref="AE475:AE476"/>
    <mergeCell ref="D476:E476"/>
    <mergeCell ref="S476:T476"/>
    <mergeCell ref="AC476:AC477"/>
    <mergeCell ref="S477:T477"/>
    <mergeCell ref="AE477:AE479"/>
    <mergeCell ref="S478:T478"/>
    <mergeCell ref="AC478:AC480"/>
    <mergeCell ref="D479:E479"/>
    <mergeCell ref="S479:T480"/>
    <mergeCell ref="U479:U480"/>
    <mergeCell ref="S482:T483"/>
    <mergeCell ref="K485:L485"/>
    <mergeCell ref="Q485:R485"/>
    <mergeCell ref="V485:W485"/>
    <mergeCell ref="I487:J487"/>
    <mergeCell ref="N487:O487"/>
    <mergeCell ref="T487:U487"/>
    <mergeCell ref="Y487:Z487"/>
    <mergeCell ref="S481:T481"/>
    <mergeCell ref="U482:U483"/>
    <mergeCell ref="K489:M489"/>
    <mergeCell ref="U489:W489"/>
    <mergeCell ref="Q491:R491"/>
    <mergeCell ref="B494:BC494"/>
    <mergeCell ref="K496:M496"/>
    <mergeCell ref="U496:W496"/>
    <mergeCell ref="L498:M498"/>
    <mergeCell ref="P498:Q498"/>
    <mergeCell ref="R498:S498"/>
    <mergeCell ref="U498:V498"/>
    <mergeCell ref="BL499:BM499"/>
    <mergeCell ref="AT498:AU498"/>
    <mergeCell ref="D501:E501"/>
    <mergeCell ref="Q503:R503"/>
    <mergeCell ref="AM500:AO500"/>
    <mergeCell ref="BI503:BK503"/>
    <mergeCell ref="AC504:AC505"/>
    <mergeCell ref="AE504:AE505"/>
    <mergeCell ref="BI504:BK504"/>
    <mergeCell ref="BL505:BM505"/>
    <mergeCell ref="D504:E504"/>
    <mergeCell ref="D509:E509"/>
    <mergeCell ref="AC506:AC508"/>
    <mergeCell ref="AE506:AE508"/>
    <mergeCell ref="BI506:BK506"/>
    <mergeCell ref="BM506:BO506"/>
    <mergeCell ref="BQ506:BS506"/>
    <mergeCell ref="C508:C509"/>
    <mergeCell ref="D514:E514"/>
    <mergeCell ref="M511:N511"/>
    <mergeCell ref="S511:T512"/>
    <mergeCell ref="U511:U512"/>
    <mergeCell ref="AM524:AN524"/>
    <mergeCell ref="K523:L523"/>
    <mergeCell ref="Q523:R523"/>
    <mergeCell ref="V523:W523"/>
    <mergeCell ref="C510:C512"/>
    <mergeCell ref="S513:T514"/>
    <mergeCell ref="U513:U514"/>
    <mergeCell ref="D517:E517"/>
    <mergeCell ref="AE514:AE515"/>
    <mergeCell ref="S515:T515"/>
    <mergeCell ref="AC514:AC515"/>
    <mergeCell ref="S516:T516"/>
    <mergeCell ref="AE516:AE518"/>
    <mergeCell ref="S517:T517"/>
    <mergeCell ref="AC516:AC518"/>
    <mergeCell ref="D520:E520"/>
    <mergeCell ref="S518:T519"/>
    <mergeCell ref="U518:U519"/>
    <mergeCell ref="I525:J525"/>
    <mergeCell ref="N525:O525"/>
    <mergeCell ref="T525:U525"/>
    <mergeCell ref="Y525:Z525"/>
    <mergeCell ref="K527:M527"/>
    <mergeCell ref="U527:W527"/>
    <mergeCell ref="Q529:R529"/>
    <mergeCell ref="H498:I498"/>
    <mergeCell ref="Y498:Z498"/>
    <mergeCell ref="S520:T520"/>
    <mergeCell ref="S521:T521"/>
    <mergeCell ref="B245:BC245"/>
    <mergeCell ref="K247:M247"/>
    <mergeCell ref="U247:W247"/>
    <mergeCell ref="G249:H249"/>
    <mergeCell ref="J249:K249"/>
    <mergeCell ref="M249:N249"/>
    <mergeCell ref="P249:Q249"/>
    <mergeCell ref="R249:S249"/>
    <mergeCell ref="T249:U249"/>
    <mergeCell ref="X249:Y249"/>
    <mergeCell ref="AA249:AB249"/>
    <mergeCell ref="AP250:AQ250"/>
    <mergeCell ref="BL250:BM250"/>
    <mergeCell ref="AI252:AK252"/>
    <mergeCell ref="D253:E253"/>
    <mergeCell ref="Q254:R254"/>
    <mergeCell ref="BI254:BK254"/>
    <mergeCell ref="AC255:AC256"/>
    <mergeCell ref="AE255:AE256"/>
    <mergeCell ref="BI255:BK255"/>
    <mergeCell ref="BL256:BM256"/>
    <mergeCell ref="D257:E257"/>
    <mergeCell ref="AC257:AC259"/>
    <mergeCell ref="AE257:AE259"/>
    <mergeCell ref="BI257:BK257"/>
    <mergeCell ref="BM257:BO257"/>
    <mergeCell ref="BQ257:BS257"/>
    <mergeCell ref="C262:C263"/>
    <mergeCell ref="D262:E262"/>
    <mergeCell ref="M262:N262"/>
    <mergeCell ref="S262:T263"/>
    <mergeCell ref="U262:U263"/>
    <mergeCell ref="C264:C266"/>
    <mergeCell ref="S264:T265"/>
    <mergeCell ref="U264:U265"/>
    <mergeCell ref="D265:E265"/>
    <mergeCell ref="AE265:AE266"/>
    <mergeCell ref="S266:T266"/>
    <mergeCell ref="AC266:AC267"/>
    <mergeCell ref="S267:T267"/>
    <mergeCell ref="AE267:AE269"/>
    <mergeCell ref="S268:T268"/>
    <mergeCell ref="AC268:AC270"/>
    <mergeCell ref="D269:E269"/>
    <mergeCell ref="S269:T270"/>
    <mergeCell ref="U269:U270"/>
    <mergeCell ref="S271:T271"/>
    <mergeCell ref="D272:E272"/>
    <mergeCell ref="S272:T273"/>
    <mergeCell ref="U272:U273"/>
    <mergeCell ref="S274:T274"/>
    <mergeCell ref="S276:T276"/>
    <mergeCell ref="K280:L280"/>
    <mergeCell ref="Q280:R280"/>
    <mergeCell ref="D277:E277"/>
    <mergeCell ref="D274:E275"/>
    <mergeCell ref="F274:F275"/>
    <mergeCell ref="V280:W280"/>
    <mergeCell ref="AM278:AN278"/>
    <mergeCell ref="I282:J282"/>
    <mergeCell ref="N282:O282"/>
    <mergeCell ref="T282:U282"/>
    <mergeCell ref="Y282:Z282"/>
    <mergeCell ref="K284:M284"/>
    <mergeCell ref="U284:W284"/>
    <mergeCell ref="Q286:R286"/>
    <mergeCell ref="S277:T278"/>
    <mergeCell ref="U277:U278"/>
    <mergeCell ref="B2:BC2"/>
    <mergeCell ref="K4:M4"/>
    <mergeCell ref="U4:W4"/>
    <mergeCell ref="H6:I6"/>
    <mergeCell ref="K6:L6"/>
    <mergeCell ref="O6:P6"/>
    <mergeCell ref="S6:T6"/>
    <mergeCell ref="V6:W6"/>
    <mergeCell ref="Z6:AA6"/>
    <mergeCell ref="AO6:AP6"/>
    <mergeCell ref="BL7:BM7"/>
    <mergeCell ref="AH8:AJ8"/>
    <mergeCell ref="D10:E10"/>
    <mergeCell ref="BI11:BK11"/>
    <mergeCell ref="AC12:AC13"/>
    <mergeCell ref="AE12:AE13"/>
    <mergeCell ref="BI12:BK12"/>
    <mergeCell ref="BL13:BM13"/>
    <mergeCell ref="D14:E14"/>
    <mergeCell ref="AC14:AC16"/>
    <mergeCell ref="AE14:AE16"/>
    <mergeCell ref="BI14:BK14"/>
    <mergeCell ref="BM14:BO14"/>
    <mergeCell ref="AC27:AC28"/>
    <mergeCell ref="AE27:AE28"/>
    <mergeCell ref="D28:E28"/>
    <mergeCell ref="S28:T28"/>
    <mergeCell ref="AC29:AC31"/>
    <mergeCell ref="AE29:AE31"/>
    <mergeCell ref="S30:T30"/>
    <mergeCell ref="BQ14:BS14"/>
    <mergeCell ref="D19:E19"/>
    <mergeCell ref="M19:N19"/>
    <mergeCell ref="S19:T20"/>
    <mergeCell ref="U19:U20"/>
    <mergeCell ref="S21:T21"/>
    <mergeCell ref="S22:T22"/>
    <mergeCell ref="D22:E22"/>
    <mergeCell ref="S23:T23"/>
    <mergeCell ref="D30:E30"/>
    <mergeCell ref="S32:T32"/>
    <mergeCell ref="D33:E34"/>
    <mergeCell ref="F33:F34"/>
    <mergeCell ref="S34:T35"/>
    <mergeCell ref="U34:U35"/>
    <mergeCell ref="D36:E36"/>
    <mergeCell ref="D41:E41"/>
    <mergeCell ref="C25:C27"/>
    <mergeCell ref="S24:T25"/>
    <mergeCell ref="U24:U25"/>
    <mergeCell ref="D25:E25"/>
    <mergeCell ref="S26:T27"/>
    <mergeCell ref="U26:U27"/>
    <mergeCell ref="C23:C24"/>
    <mergeCell ref="Q50:R50"/>
    <mergeCell ref="S36:T37"/>
    <mergeCell ref="U36:U37"/>
    <mergeCell ref="S39:T39"/>
    <mergeCell ref="S41:T41"/>
    <mergeCell ref="D38:E38"/>
    <mergeCell ref="B53:BC53"/>
    <mergeCell ref="K55:M55"/>
    <mergeCell ref="U55:W55"/>
    <mergeCell ref="K44:L44"/>
    <mergeCell ref="Q44:R44"/>
    <mergeCell ref="V44:W44"/>
    <mergeCell ref="AK43:AL43"/>
    <mergeCell ref="I46:J46"/>
    <mergeCell ref="N46:O46"/>
    <mergeCell ref="T46:U46"/>
    <mergeCell ref="Y46:Z46"/>
    <mergeCell ref="K48:M48"/>
    <mergeCell ref="U48:W48"/>
    <mergeCell ref="G57:H57"/>
    <mergeCell ref="J57:K57"/>
    <mergeCell ref="M57:N57"/>
    <mergeCell ref="P57:Q57"/>
    <mergeCell ref="R57:S57"/>
    <mergeCell ref="T57:U57"/>
    <mergeCell ref="X57:Y57"/>
    <mergeCell ref="AA57:AB57"/>
    <mergeCell ref="AP58:AQ58"/>
    <mergeCell ref="BL58:BM58"/>
    <mergeCell ref="AI60:AK60"/>
    <mergeCell ref="D62:E62"/>
    <mergeCell ref="N62:O62"/>
    <mergeCell ref="Q62:R62"/>
    <mergeCell ref="BI62:BK62"/>
    <mergeCell ref="AC63:AC64"/>
    <mergeCell ref="AE63:AE64"/>
    <mergeCell ref="BI63:BK63"/>
    <mergeCell ref="BL64:BM64"/>
    <mergeCell ref="AC65:AC67"/>
    <mergeCell ref="AE65:AE67"/>
    <mergeCell ref="BI65:BK65"/>
    <mergeCell ref="BM65:BO65"/>
    <mergeCell ref="BQ65:BS65"/>
    <mergeCell ref="D66:E66"/>
    <mergeCell ref="D70:E70"/>
    <mergeCell ref="M70:N70"/>
    <mergeCell ref="S70:T71"/>
    <mergeCell ref="U70:U71"/>
    <mergeCell ref="C73:C74"/>
    <mergeCell ref="D73:E73"/>
    <mergeCell ref="S73:T73"/>
    <mergeCell ref="C75:C77"/>
    <mergeCell ref="S75:T75"/>
    <mergeCell ref="S76:T76"/>
    <mergeCell ref="D77:E77"/>
    <mergeCell ref="S77:T77"/>
    <mergeCell ref="AC77:AC78"/>
    <mergeCell ref="AE77:AE78"/>
    <mergeCell ref="S78:T78"/>
    <mergeCell ref="S79:T80"/>
    <mergeCell ref="U79:U80"/>
    <mergeCell ref="AC79:AC81"/>
    <mergeCell ref="AE79:AE81"/>
    <mergeCell ref="D80:E80"/>
    <mergeCell ref="S81:T81"/>
    <mergeCell ref="D83:E83"/>
    <mergeCell ref="S83:T83"/>
    <mergeCell ref="S85:T85"/>
    <mergeCell ref="D86:E86"/>
    <mergeCell ref="S87:T87"/>
    <mergeCell ref="D89:E89"/>
    <mergeCell ref="S89:T89"/>
    <mergeCell ref="K94:L94"/>
    <mergeCell ref="Q94:R94"/>
    <mergeCell ref="V94:W94"/>
    <mergeCell ref="AK93:AL93"/>
    <mergeCell ref="D91:E91"/>
    <mergeCell ref="I96:J96"/>
    <mergeCell ref="N96:O96"/>
    <mergeCell ref="T96:U96"/>
    <mergeCell ref="Y96:Z96"/>
    <mergeCell ref="K98:M98"/>
    <mergeCell ref="U98:W98"/>
    <mergeCell ref="Q100:R100"/>
    <mergeCell ref="S91:T92"/>
    <mergeCell ref="U91:U92"/>
  </mergeCells>
  <conditionalFormatting sqref="H378:I378">
    <cfRule type="cellIs" dxfId="431" priority="479" operator="lessThan">
      <formula>0</formula>
    </cfRule>
    <cfRule type="cellIs" dxfId="430" priority="496" operator="lessThan">
      <formula>0</formula>
    </cfRule>
  </conditionalFormatting>
  <conditionalFormatting sqref="D382:E382">
    <cfRule type="cellIs" dxfId="429" priority="480" operator="lessThan">
      <formula>0</formula>
    </cfRule>
    <cfRule type="cellIs" dxfId="428" priority="495" operator="lessThan">
      <formula>0</formula>
    </cfRule>
  </conditionalFormatting>
  <conditionalFormatting sqref="D401:E401">
    <cfRule type="cellIs" dxfId="427" priority="485" operator="lessThan">
      <formula>0</formula>
    </cfRule>
    <cfRule type="cellIs" dxfId="426" priority="492" operator="lessThan">
      <formula>0</formula>
    </cfRule>
  </conditionalFormatting>
  <conditionalFormatting sqref="D398:E398">
    <cfRule type="cellIs" dxfId="425" priority="484" operator="lessThan">
      <formula>0</formula>
    </cfRule>
    <cfRule type="cellIs" dxfId="424" priority="491" operator="lessThan">
      <formula>0</formula>
    </cfRule>
  </conditionalFormatting>
  <conditionalFormatting sqref="D395:E395">
    <cfRule type="cellIs" dxfId="423" priority="483" operator="lessThan">
      <formula>0</formula>
    </cfRule>
    <cfRule type="cellIs" dxfId="422" priority="490" operator="lessThan">
      <formula>0</formula>
    </cfRule>
  </conditionalFormatting>
  <conditionalFormatting sqref="D391:E391">
    <cfRule type="cellIs" dxfId="421" priority="482" operator="lessThan">
      <formula>0</formula>
    </cfRule>
    <cfRule type="cellIs" dxfId="420" priority="489" operator="lessThan">
      <formula>0</formula>
    </cfRule>
  </conditionalFormatting>
  <conditionalFormatting sqref="D386:E386">
    <cfRule type="cellIs" dxfId="419" priority="481" operator="lessThan">
      <formula>0</formula>
    </cfRule>
    <cfRule type="cellIs" dxfId="418" priority="488" operator="lessThan">
      <formula>0</formula>
    </cfRule>
  </conditionalFormatting>
  <conditionalFormatting sqref="D403:E403">
    <cfRule type="cellIs" dxfId="417" priority="486" operator="lessThan">
      <formula>0</formula>
    </cfRule>
    <cfRule type="cellIs" dxfId="416" priority="487" operator="lessThan">
      <formula>0</formula>
    </cfRule>
  </conditionalFormatting>
  <conditionalFormatting sqref="O378:P378">
    <cfRule type="cellIs" dxfId="415" priority="477" operator="lessThan">
      <formula>0</formula>
    </cfRule>
  </conditionalFormatting>
  <conditionalFormatting sqref="G419:H419">
    <cfRule type="cellIs" dxfId="414" priority="461" operator="lessThan">
      <formula>0</formula>
    </cfRule>
    <cfRule type="cellIs" dxfId="413" priority="476" operator="lessThan">
      <formula>0</formula>
    </cfRule>
  </conditionalFormatting>
  <conditionalFormatting sqref="D423:E423">
    <cfRule type="cellIs" dxfId="412" priority="462" operator="lessThan">
      <formula>0</formula>
    </cfRule>
    <cfRule type="cellIs" dxfId="411" priority="475" operator="lessThan">
      <formula>0</formula>
    </cfRule>
  </conditionalFormatting>
  <conditionalFormatting sqref="D442:E442">
    <cfRule type="cellIs" dxfId="410" priority="467" operator="lessThan">
      <formula>0</formula>
    </cfRule>
    <cfRule type="cellIs" dxfId="409" priority="474" operator="lessThan">
      <formula>0</formula>
    </cfRule>
  </conditionalFormatting>
  <conditionalFormatting sqref="D439:E439">
    <cfRule type="cellIs" dxfId="408" priority="466" operator="lessThan">
      <formula>0</formula>
    </cfRule>
    <cfRule type="cellIs" dxfId="407" priority="473" operator="lessThan">
      <formula>0</formula>
    </cfRule>
  </conditionalFormatting>
  <conditionalFormatting sqref="D435:E435">
    <cfRule type="cellIs" dxfId="406" priority="465" operator="lessThan">
      <formula>0</formula>
    </cfRule>
    <cfRule type="cellIs" dxfId="405" priority="472" operator="lessThan">
      <formula>0</formula>
    </cfRule>
  </conditionalFormatting>
  <conditionalFormatting sqref="D432:E432">
    <cfRule type="cellIs" dxfId="404" priority="464" operator="lessThan">
      <formula>0</formula>
    </cfRule>
    <cfRule type="cellIs" dxfId="403" priority="471" operator="lessThan">
      <formula>0</formula>
    </cfRule>
  </conditionalFormatting>
  <conditionalFormatting sqref="D427:E427">
    <cfRule type="cellIs" dxfId="402" priority="463" operator="lessThan">
      <formula>0</formula>
    </cfRule>
    <cfRule type="cellIs" dxfId="401" priority="470" operator="lessThan">
      <formula>0</formula>
    </cfRule>
  </conditionalFormatting>
  <conditionalFormatting sqref="M419:N419">
    <cfRule type="cellIs" dxfId="400" priority="460" operator="lessThan">
      <formula>0</formula>
    </cfRule>
  </conditionalFormatting>
  <conditionalFormatting sqref="P419:Q419">
    <cfRule type="cellIs" dxfId="399" priority="459" operator="lessThan">
      <formula>0</formula>
    </cfRule>
  </conditionalFormatting>
  <conditionalFormatting sqref="S444:T444">
    <cfRule type="cellIs" dxfId="398" priority="458" operator="lessThan">
      <formula>0</formula>
    </cfRule>
  </conditionalFormatting>
  <conditionalFormatting sqref="S442:T443">
    <cfRule type="cellIs" dxfId="397" priority="457" operator="lessThan">
      <formula>0</formula>
    </cfRule>
  </conditionalFormatting>
  <conditionalFormatting sqref="S441:T441">
    <cfRule type="cellIs" dxfId="396" priority="456" operator="lessThan">
      <formula>0</formula>
    </cfRule>
  </conditionalFormatting>
  <conditionalFormatting sqref="S439:T440">
    <cfRule type="cellIs" dxfId="395" priority="455" operator="lessThan">
      <formula>0</formula>
    </cfRule>
  </conditionalFormatting>
  <conditionalFormatting sqref="S438:T438">
    <cfRule type="cellIs" dxfId="394" priority="454" operator="lessThan">
      <formula>0</formula>
    </cfRule>
  </conditionalFormatting>
  <conditionalFormatting sqref="S437:T437">
    <cfRule type="cellIs" dxfId="393" priority="453" operator="lessThan">
      <formula>0</formula>
    </cfRule>
  </conditionalFormatting>
  <conditionalFormatting sqref="S436:T436">
    <cfRule type="cellIs" dxfId="392" priority="452" operator="lessThan">
      <formula>0</formula>
    </cfRule>
  </conditionalFormatting>
  <conditionalFormatting sqref="S434:T435">
    <cfRule type="cellIs" dxfId="391" priority="451" operator="lessThan">
      <formula>0</formula>
    </cfRule>
  </conditionalFormatting>
  <conditionalFormatting sqref="S432:T433">
    <cfRule type="cellIs" dxfId="390" priority="450" operator="lessThan">
      <formula>0</formula>
    </cfRule>
  </conditionalFormatting>
  <conditionalFormatting sqref="S403:T404">
    <cfRule type="cellIs" dxfId="389" priority="449" operator="lessThan">
      <formula>0</formula>
    </cfRule>
  </conditionalFormatting>
  <conditionalFormatting sqref="S401:T402">
    <cfRule type="cellIs" dxfId="388" priority="448" operator="lessThan">
      <formula>0</formula>
    </cfRule>
  </conditionalFormatting>
  <conditionalFormatting sqref="S400:T400">
    <cfRule type="cellIs" dxfId="387" priority="447" operator="lessThan">
      <formula>0</formula>
    </cfRule>
  </conditionalFormatting>
  <conditionalFormatting sqref="S398:T399">
    <cfRule type="cellIs" dxfId="386" priority="446" operator="lessThan">
      <formula>0</formula>
    </cfRule>
  </conditionalFormatting>
  <conditionalFormatting sqref="S397:T397">
    <cfRule type="cellIs" dxfId="385" priority="445" operator="lessThan">
      <formula>0</formula>
    </cfRule>
  </conditionalFormatting>
  <conditionalFormatting sqref="S396:T396">
    <cfRule type="cellIs" dxfId="384" priority="444" operator="lessThan">
      <formula>0</formula>
    </cfRule>
  </conditionalFormatting>
  <conditionalFormatting sqref="S395:T395">
    <cfRule type="cellIs" dxfId="383" priority="443" operator="lessThan">
      <formula>0</formula>
    </cfRule>
  </conditionalFormatting>
  <conditionalFormatting sqref="S393:T394">
    <cfRule type="cellIs" dxfId="382" priority="442" operator="lessThan">
      <formula>0</formula>
    </cfRule>
  </conditionalFormatting>
  <conditionalFormatting sqref="S391:T392">
    <cfRule type="cellIs" dxfId="381" priority="441" operator="lessThan">
      <formula>0</formula>
    </cfRule>
  </conditionalFormatting>
  <conditionalFormatting sqref="H459:I459">
    <cfRule type="cellIs" dxfId="380" priority="398" operator="lessThan">
      <formula>0</formula>
    </cfRule>
    <cfRule type="cellIs" dxfId="379" priority="413" operator="lessThan">
      <formula>0</formula>
    </cfRule>
  </conditionalFormatting>
  <conditionalFormatting sqref="D463:E463">
    <cfRule type="cellIs" dxfId="378" priority="399" operator="lessThan">
      <formula>0</formula>
    </cfRule>
    <cfRule type="cellIs" dxfId="377" priority="412" operator="lessThan">
      <formula>0</formula>
    </cfRule>
  </conditionalFormatting>
  <conditionalFormatting sqref="D482:E482">
    <cfRule type="cellIs" dxfId="376" priority="404" operator="lessThan">
      <formula>0</formula>
    </cfRule>
    <cfRule type="cellIs" dxfId="375" priority="411" operator="lessThan">
      <formula>0</formula>
    </cfRule>
  </conditionalFormatting>
  <conditionalFormatting sqref="D479:E479">
    <cfRule type="cellIs" dxfId="374" priority="403" operator="lessThan">
      <formula>0</formula>
    </cfRule>
    <cfRule type="cellIs" dxfId="373" priority="410" operator="lessThan">
      <formula>0</formula>
    </cfRule>
  </conditionalFormatting>
  <conditionalFormatting sqref="D476:E476">
    <cfRule type="cellIs" dxfId="372" priority="402" operator="lessThan">
      <formula>0</formula>
    </cfRule>
    <cfRule type="cellIs" dxfId="371" priority="409" operator="lessThan">
      <formula>0</formula>
    </cfRule>
  </conditionalFormatting>
  <conditionalFormatting sqref="D472:E472">
    <cfRule type="cellIs" dxfId="370" priority="401" operator="lessThan">
      <formula>0</formula>
    </cfRule>
    <cfRule type="cellIs" dxfId="369" priority="408" operator="lessThan">
      <formula>0</formula>
    </cfRule>
  </conditionalFormatting>
  <conditionalFormatting sqref="D467:E467">
    <cfRule type="cellIs" dxfId="368" priority="400" operator="lessThan">
      <formula>0</formula>
    </cfRule>
    <cfRule type="cellIs" dxfId="367" priority="407" operator="lessThan">
      <formula>0</formula>
    </cfRule>
  </conditionalFormatting>
  <conditionalFormatting sqref="K459:L459">
    <cfRule type="cellIs" dxfId="366" priority="397" operator="lessThan">
      <formula>0</formula>
    </cfRule>
  </conditionalFormatting>
  <conditionalFormatting sqref="O459:P459">
    <cfRule type="cellIs" dxfId="365" priority="396" operator="lessThan">
      <formula>0</formula>
    </cfRule>
  </conditionalFormatting>
  <conditionalFormatting sqref="S482:T483">
    <cfRule type="cellIs" dxfId="364" priority="394" operator="lessThan">
      <formula>0</formula>
    </cfRule>
  </conditionalFormatting>
  <conditionalFormatting sqref="S481:T481">
    <cfRule type="cellIs" dxfId="363" priority="393" operator="lessThan">
      <formula>0</formula>
    </cfRule>
  </conditionalFormatting>
  <conditionalFormatting sqref="S479:T480">
    <cfRule type="cellIs" dxfId="362" priority="392" operator="lessThan">
      <formula>0</formula>
    </cfRule>
  </conditionalFormatting>
  <conditionalFormatting sqref="S478:T478">
    <cfRule type="cellIs" dxfId="361" priority="391" operator="lessThan">
      <formula>0</formula>
    </cfRule>
  </conditionalFormatting>
  <conditionalFormatting sqref="S477:T477">
    <cfRule type="cellIs" dxfId="360" priority="390" operator="lessThan">
      <formula>0</formula>
    </cfRule>
  </conditionalFormatting>
  <conditionalFormatting sqref="S476:T476">
    <cfRule type="cellIs" dxfId="359" priority="389" operator="lessThan">
      <formula>0</formula>
    </cfRule>
  </conditionalFormatting>
  <conditionalFormatting sqref="S474:T475">
    <cfRule type="cellIs" dxfId="358" priority="388" operator="lessThan">
      <formula>0</formula>
    </cfRule>
  </conditionalFormatting>
  <conditionalFormatting sqref="S472:T473">
    <cfRule type="cellIs" dxfId="357" priority="387" operator="lessThan">
      <formula>0</formula>
    </cfRule>
  </conditionalFormatting>
  <conditionalFormatting sqref="D501:E501">
    <cfRule type="cellIs" dxfId="356" priority="374" operator="lessThan">
      <formula>0</formula>
    </cfRule>
    <cfRule type="cellIs" dxfId="355" priority="385" operator="lessThan">
      <formula>0</formula>
    </cfRule>
  </conditionalFormatting>
  <conditionalFormatting sqref="D517:E517">
    <cfRule type="cellIs" dxfId="354" priority="377" operator="lessThan">
      <formula>0</formula>
    </cfRule>
    <cfRule type="cellIs" dxfId="353" priority="382" operator="lessThan">
      <formula>0</formula>
    </cfRule>
  </conditionalFormatting>
  <conditionalFormatting sqref="D520:E520">
    <cfRule type="cellIs" dxfId="352" priority="378" operator="lessThan">
      <formula>0</formula>
    </cfRule>
    <cfRule type="cellIs" dxfId="351" priority="383" operator="lessThan">
      <formula>0</formula>
    </cfRule>
  </conditionalFormatting>
  <conditionalFormatting sqref="D514:E514">
    <cfRule type="cellIs" dxfId="350" priority="376" operator="lessThan">
      <formula>0</formula>
    </cfRule>
    <cfRule type="cellIs" dxfId="349" priority="381" operator="lessThan">
      <formula>0</formula>
    </cfRule>
  </conditionalFormatting>
  <conditionalFormatting sqref="D509:E509">
    <cfRule type="cellIs" dxfId="348" priority="375" operator="lessThan">
      <formula>0</formula>
    </cfRule>
    <cfRule type="cellIs" dxfId="347" priority="380" operator="lessThan">
      <formula>0</formula>
    </cfRule>
  </conditionalFormatting>
  <conditionalFormatting sqref="L498:M498">
    <cfRule type="cellIs" dxfId="346" priority="372" operator="lessThan">
      <formula>0</formula>
    </cfRule>
  </conditionalFormatting>
  <conditionalFormatting sqref="P498:Q498">
    <cfRule type="cellIs" dxfId="345" priority="371" operator="lessThan">
      <formula>0</formula>
    </cfRule>
  </conditionalFormatting>
  <conditionalFormatting sqref="S520:T520">
    <cfRule type="cellIs" dxfId="344" priority="368" operator="lessThan">
      <formula>0</formula>
    </cfRule>
  </conditionalFormatting>
  <conditionalFormatting sqref="S521:T521">
    <cfRule type="cellIs" dxfId="343" priority="369" operator="lessThan">
      <formula>0</formula>
    </cfRule>
  </conditionalFormatting>
  <conditionalFormatting sqref="S518:T519">
    <cfRule type="cellIs" dxfId="342" priority="367" operator="lessThan">
      <formula>0</formula>
    </cfRule>
  </conditionalFormatting>
  <conditionalFormatting sqref="S517:T517">
    <cfRule type="cellIs" dxfId="341" priority="366" operator="lessThan">
      <formula>0</formula>
    </cfRule>
  </conditionalFormatting>
  <conditionalFormatting sqref="S516:T516">
    <cfRule type="cellIs" dxfId="340" priority="365" operator="lessThan">
      <formula>0</formula>
    </cfRule>
  </conditionalFormatting>
  <conditionalFormatting sqref="S515:T515">
    <cfRule type="cellIs" dxfId="339" priority="364" operator="lessThan">
      <formula>0</formula>
    </cfRule>
  </conditionalFormatting>
  <conditionalFormatting sqref="S513:T514">
    <cfRule type="cellIs" dxfId="338" priority="363" operator="lessThan">
      <formula>0</formula>
    </cfRule>
  </conditionalFormatting>
  <conditionalFormatting sqref="S511:T512">
    <cfRule type="cellIs" dxfId="337" priority="362" operator="lessThan">
      <formula>0</formula>
    </cfRule>
  </conditionalFormatting>
  <conditionalFormatting sqref="D504:E504">
    <cfRule type="cellIs" dxfId="336" priority="360" operator="lessThan">
      <formula>0</formula>
    </cfRule>
    <cfRule type="cellIs" dxfId="335" priority="361" operator="lessThan">
      <formula>0</formula>
    </cfRule>
  </conditionalFormatting>
  <conditionalFormatting sqref="H498:I498">
    <cfRule type="cellIs" dxfId="334" priority="359" operator="lessThan">
      <formula>0</formula>
    </cfRule>
  </conditionalFormatting>
  <conditionalFormatting sqref="H536:I536">
    <cfRule type="cellIs" dxfId="333" priority="345" operator="lessThan">
      <formula>0</formula>
    </cfRule>
    <cfRule type="cellIs" dxfId="332" priority="358" operator="lessThan">
      <formula>0</formula>
    </cfRule>
  </conditionalFormatting>
  <conditionalFormatting sqref="D540:E540">
    <cfRule type="cellIs" dxfId="331" priority="346" operator="lessThan">
      <formula>0</formula>
    </cfRule>
    <cfRule type="cellIs" dxfId="330" priority="357" operator="lessThan">
      <formula>0</formula>
    </cfRule>
  </conditionalFormatting>
  <conditionalFormatting sqref="D556:E556">
    <cfRule type="cellIs" dxfId="329" priority="350" operator="lessThan">
      <formula>0</formula>
    </cfRule>
    <cfRule type="cellIs" dxfId="328" priority="355" operator="lessThan">
      <formula>0</formula>
    </cfRule>
  </conditionalFormatting>
  <conditionalFormatting sqref="D553:E553">
    <cfRule type="cellIs" dxfId="327" priority="349" operator="lessThan">
      <formula>0</formula>
    </cfRule>
    <cfRule type="cellIs" dxfId="326" priority="354" operator="lessThan">
      <formula>0</formula>
    </cfRule>
  </conditionalFormatting>
  <conditionalFormatting sqref="D549:E549">
    <cfRule type="cellIs" dxfId="325" priority="348" operator="lessThan">
      <formula>0</formula>
    </cfRule>
    <cfRule type="cellIs" dxfId="324" priority="353" operator="lessThan">
      <formula>0</formula>
    </cfRule>
  </conditionalFormatting>
  <conditionalFormatting sqref="D544:E544">
    <cfRule type="cellIs" dxfId="323" priority="347" operator="lessThan">
      <formula>0</formula>
    </cfRule>
    <cfRule type="cellIs" dxfId="322" priority="352" operator="lessThan">
      <formula>0</formula>
    </cfRule>
  </conditionalFormatting>
  <conditionalFormatting sqref="K536:L536">
    <cfRule type="cellIs" dxfId="321" priority="344" operator="lessThan">
      <formula>0</formula>
    </cfRule>
  </conditionalFormatting>
  <conditionalFormatting sqref="O536:P536">
    <cfRule type="cellIs" dxfId="320" priority="343" operator="lessThan">
      <formula>0</formula>
    </cfRule>
  </conditionalFormatting>
  <conditionalFormatting sqref="S558:T558">
    <cfRule type="cellIs" dxfId="319" priority="341" operator="lessThan">
      <formula>0</formula>
    </cfRule>
  </conditionalFormatting>
  <conditionalFormatting sqref="S556:T557">
    <cfRule type="cellIs" dxfId="318" priority="340" operator="lessThan">
      <formula>0</formula>
    </cfRule>
  </conditionalFormatting>
  <conditionalFormatting sqref="S555:T555">
    <cfRule type="cellIs" dxfId="317" priority="339" operator="lessThan">
      <formula>0</formula>
    </cfRule>
  </conditionalFormatting>
  <conditionalFormatting sqref="S554:T554">
    <cfRule type="cellIs" dxfId="316" priority="338" operator="lessThan">
      <formula>0</formula>
    </cfRule>
  </conditionalFormatting>
  <conditionalFormatting sqref="S553:T553">
    <cfRule type="cellIs" dxfId="315" priority="337" operator="lessThan">
      <formula>0</formula>
    </cfRule>
  </conditionalFormatting>
  <conditionalFormatting sqref="S551:T552">
    <cfRule type="cellIs" dxfId="314" priority="336" operator="lessThan">
      <formula>0</formula>
    </cfRule>
  </conditionalFormatting>
  <conditionalFormatting sqref="S549:T550">
    <cfRule type="cellIs" dxfId="313" priority="335" operator="lessThan">
      <formula>0</formula>
    </cfRule>
  </conditionalFormatting>
  <conditionalFormatting sqref="D576:E576">
    <cfRule type="cellIs" dxfId="312" priority="325" operator="lessThan">
      <formula>0</formula>
    </cfRule>
    <cfRule type="cellIs" dxfId="311" priority="334" operator="lessThan">
      <formula>0</formula>
    </cfRule>
  </conditionalFormatting>
  <conditionalFormatting sqref="D593:E593">
    <cfRule type="cellIs" dxfId="310" priority="328" operator="lessThan">
      <formula>0</formula>
    </cfRule>
    <cfRule type="cellIs" dxfId="309" priority="332" operator="lessThan">
      <formula>0</formula>
    </cfRule>
  </conditionalFormatting>
  <conditionalFormatting sqref="D595:E595">
    <cfRule type="cellIs" dxfId="308" priority="329" operator="lessThan">
      <formula>0</formula>
    </cfRule>
    <cfRule type="cellIs" dxfId="307" priority="333" operator="lessThan">
      <formula>0</formula>
    </cfRule>
  </conditionalFormatting>
  <conditionalFormatting sqref="D589:E589">
    <cfRule type="cellIs" dxfId="306" priority="327" operator="lessThan">
      <formula>0</formula>
    </cfRule>
    <cfRule type="cellIs" dxfId="305" priority="331" operator="lessThan">
      <formula>0</formula>
    </cfRule>
  </conditionalFormatting>
  <conditionalFormatting sqref="D584:E584">
    <cfRule type="cellIs" dxfId="304" priority="326" operator="lessThan">
      <formula>0</formula>
    </cfRule>
    <cfRule type="cellIs" dxfId="303" priority="330" operator="lessThan">
      <formula>0</formula>
    </cfRule>
  </conditionalFormatting>
  <conditionalFormatting sqref="L573:M573">
    <cfRule type="cellIs" dxfId="302" priority="324" operator="lessThan">
      <formula>0</formula>
    </cfRule>
  </conditionalFormatting>
  <conditionalFormatting sqref="P573:Q573">
    <cfRule type="cellIs" dxfId="301" priority="323" operator="lessThan">
      <formula>0</formula>
    </cfRule>
  </conditionalFormatting>
  <conditionalFormatting sqref="S595:T595">
    <cfRule type="cellIs" dxfId="300" priority="321" operator="lessThan">
      <formula>0</formula>
    </cfRule>
  </conditionalFormatting>
  <conditionalFormatting sqref="S593:T594">
    <cfRule type="cellIs" dxfId="299" priority="320" operator="lessThan">
      <formula>0</formula>
    </cfRule>
  </conditionalFormatting>
  <conditionalFormatting sqref="S592:T592">
    <cfRule type="cellIs" dxfId="298" priority="319" operator="lessThan">
      <formula>0</formula>
    </cfRule>
  </conditionalFormatting>
  <conditionalFormatting sqref="S591:T591">
    <cfRule type="cellIs" dxfId="297" priority="318" operator="lessThan">
      <formula>0</formula>
    </cfRule>
  </conditionalFormatting>
  <conditionalFormatting sqref="S590:T590">
    <cfRule type="cellIs" dxfId="296" priority="317" operator="lessThan">
      <formula>0</formula>
    </cfRule>
  </conditionalFormatting>
  <conditionalFormatting sqref="S588:T589">
    <cfRule type="cellIs" dxfId="295" priority="316" operator="lessThan">
      <formula>0</formula>
    </cfRule>
  </conditionalFormatting>
  <conditionalFormatting sqref="S586:T587">
    <cfRule type="cellIs" dxfId="294" priority="315" operator="lessThan">
      <formula>0</formula>
    </cfRule>
  </conditionalFormatting>
  <conditionalFormatting sqref="D579:E579">
    <cfRule type="cellIs" dxfId="293" priority="313" operator="lessThan">
      <formula>0</formula>
    </cfRule>
    <cfRule type="cellIs" dxfId="292" priority="314" operator="lessThan">
      <formula>0</formula>
    </cfRule>
  </conditionalFormatting>
  <conditionalFormatting sqref="H573:I573">
    <cfRule type="cellIs" dxfId="291" priority="312" operator="lessThan">
      <formula>0</formula>
    </cfRule>
  </conditionalFormatting>
  <conditionalFormatting sqref="H293:I293">
    <cfRule type="cellIs" dxfId="290" priority="296" operator="lessThan">
      <formula>0</formula>
    </cfRule>
    <cfRule type="cellIs" dxfId="289" priority="311" operator="lessThan">
      <formula>0</formula>
    </cfRule>
  </conditionalFormatting>
  <conditionalFormatting sqref="D297:E297">
    <cfRule type="cellIs" dxfId="288" priority="297" operator="lessThan">
      <formula>0</formula>
    </cfRule>
    <cfRule type="cellIs" dxfId="287" priority="310" operator="lessThan">
      <formula>0</formula>
    </cfRule>
  </conditionalFormatting>
  <conditionalFormatting sqref="D316:E316">
    <cfRule type="cellIs" dxfId="286" priority="302" operator="lessThan">
      <formula>0</formula>
    </cfRule>
    <cfRule type="cellIs" dxfId="285" priority="309" operator="lessThan">
      <formula>0</formula>
    </cfRule>
  </conditionalFormatting>
  <conditionalFormatting sqref="D313:E313">
    <cfRule type="cellIs" dxfId="284" priority="301" operator="lessThan">
      <formula>0</formula>
    </cfRule>
    <cfRule type="cellIs" dxfId="283" priority="308" operator="lessThan">
      <formula>0</formula>
    </cfRule>
  </conditionalFormatting>
  <conditionalFormatting sqref="D310:E310">
    <cfRule type="cellIs" dxfId="282" priority="300" operator="lessThan">
      <formula>0</formula>
    </cfRule>
    <cfRule type="cellIs" dxfId="281" priority="307" operator="lessThan">
      <formula>0</formula>
    </cfRule>
  </conditionalFormatting>
  <conditionalFormatting sqref="D306:E306">
    <cfRule type="cellIs" dxfId="280" priority="299" operator="lessThan">
      <formula>0</formula>
    </cfRule>
    <cfRule type="cellIs" dxfId="279" priority="306" operator="lessThan">
      <formula>0</formula>
    </cfRule>
  </conditionalFormatting>
  <conditionalFormatting sqref="D301:E301">
    <cfRule type="cellIs" dxfId="278" priority="298" operator="lessThan">
      <formula>0</formula>
    </cfRule>
    <cfRule type="cellIs" dxfId="277" priority="305" operator="lessThan">
      <formula>0</formula>
    </cfRule>
  </conditionalFormatting>
  <conditionalFormatting sqref="K293:L293">
    <cfRule type="cellIs" dxfId="276" priority="295" operator="lessThan">
      <formula>0</formula>
    </cfRule>
  </conditionalFormatting>
  <conditionalFormatting sqref="O293:P293">
    <cfRule type="cellIs" dxfId="275" priority="294" operator="lessThan">
      <formula>0</formula>
    </cfRule>
  </conditionalFormatting>
  <conditionalFormatting sqref="S318:T319">
    <cfRule type="cellIs" dxfId="274" priority="293" operator="lessThan">
      <formula>0</formula>
    </cfRule>
  </conditionalFormatting>
  <conditionalFormatting sqref="S316:T317">
    <cfRule type="cellIs" dxfId="273" priority="292" operator="lessThan">
      <formula>0</formula>
    </cfRule>
  </conditionalFormatting>
  <conditionalFormatting sqref="S315:T315">
    <cfRule type="cellIs" dxfId="272" priority="291" operator="lessThan">
      <formula>0</formula>
    </cfRule>
  </conditionalFormatting>
  <conditionalFormatting sqref="S313:T314">
    <cfRule type="cellIs" dxfId="271" priority="290" operator="lessThan">
      <formula>0</formula>
    </cfRule>
  </conditionalFormatting>
  <conditionalFormatting sqref="S312:T312">
    <cfRule type="cellIs" dxfId="270" priority="289" operator="lessThan">
      <formula>0</formula>
    </cfRule>
  </conditionalFormatting>
  <conditionalFormatting sqref="S311:T311">
    <cfRule type="cellIs" dxfId="269" priority="288" operator="lessThan">
      <formula>0</formula>
    </cfRule>
  </conditionalFormatting>
  <conditionalFormatting sqref="S310:T310">
    <cfRule type="cellIs" dxfId="268" priority="287" operator="lessThan">
      <formula>0</formula>
    </cfRule>
  </conditionalFormatting>
  <conditionalFormatting sqref="S308:T309">
    <cfRule type="cellIs" dxfId="267" priority="286" operator="lessThan">
      <formula>0</formula>
    </cfRule>
  </conditionalFormatting>
  <conditionalFormatting sqref="S306:T307">
    <cfRule type="cellIs" dxfId="266" priority="285" operator="lessThan">
      <formula>0</formula>
    </cfRule>
  </conditionalFormatting>
  <conditionalFormatting sqref="D320:E320">
    <cfRule type="cellIs" dxfId="265" priority="283" operator="lessThan">
      <formula>0</formula>
    </cfRule>
    <cfRule type="cellIs" dxfId="264" priority="284" operator="lessThan">
      <formula>0</formula>
    </cfRule>
  </conditionalFormatting>
  <conditionalFormatting sqref="D318:E318">
    <cfRule type="cellIs" dxfId="263" priority="281" operator="lessThan">
      <formula>0</formula>
    </cfRule>
    <cfRule type="cellIs" dxfId="262" priority="282" operator="lessThan">
      <formula>0</formula>
    </cfRule>
  </conditionalFormatting>
  <conditionalFormatting sqref="G336:H336">
    <cfRule type="cellIs" dxfId="261" priority="267" operator="lessThan">
      <formula>0</formula>
    </cfRule>
    <cfRule type="cellIs" dxfId="260" priority="280" operator="lessThan">
      <formula>0</formula>
    </cfRule>
  </conditionalFormatting>
  <conditionalFormatting sqref="D340:E340">
    <cfRule type="cellIs" dxfId="259" priority="268" operator="lessThan">
      <formula>0</formula>
    </cfRule>
    <cfRule type="cellIs" dxfId="258" priority="279" operator="lessThan">
      <formula>0</formula>
    </cfRule>
  </conditionalFormatting>
  <conditionalFormatting sqref="D359:E359">
    <cfRule type="cellIs" dxfId="257" priority="273" operator="lessThan">
      <formula>0</formula>
    </cfRule>
    <cfRule type="cellIs" dxfId="256" priority="278" operator="lessThan">
      <formula>0</formula>
    </cfRule>
  </conditionalFormatting>
  <conditionalFormatting sqref="D356:E356">
    <cfRule type="cellIs" dxfId="255" priority="272" operator="lessThan">
      <formula>0</formula>
    </cfRule>
    <cfRule type="cellIs" dxfId="254" priority="277" operator="lessThan">
      <formula>0</formula>
    </cfRule>
  </conditionalFormatting>
  <conditionalFormatting sqref="D352:E352">
    <cfRule type="cellIs" dxfId="253" priority="271" operator="lessThan">
      <formula>0</formula>
    </cfRule>
    <cfRule type="cellIs" dxfId="252" priority="276" operator="lessThan">
      <formula>0</formula>
    </cfRule>
  </conditionalFormatting>
  <conditionalFormatting sqref="D349:E349">
    <cfRule type="cellIs" dxfId="251" priority="270" operator="lessThan">
      <formula>0</formula>
    </cfRule>
    <cfRule type="cellIs" dxfId="250" priority="275" operator="lessThan">
      <formula>0</formula>
    </cfRule>
  </conditionalFormatting>
  <conditionalFormatting sqref="D344:E344">
    <cfRule type="cellIs" dxfId="249" priority="269" operator="lessThan">
      <formula>0</formula>
    </cfRule>
    <cfRule type="cellIs" dxfId="248" priority="274" operator="lessThan">
      <formula>0</formula>
    </cfRule>
  </conditionalFormatting>
  <conditionalFormatting sqref="M336:N336">
    <cfRule type="cellIs" dxfId="247" priority="266" operator="lessThan">
      <formula>0</formula>
    </cfRule>
  </conditionalFormatting>
  <conditionalFormatting sqref="P336:Q336">
    <cfRule type="cellIs" dxfId="246" priority="265" operator="lessThan">
      <formula>0</formula>
    </cfRule>
  </conditionalFormatting>
  <conditionalFormatting sqref="S361:T361">
    <cfRule type="cellIs" dxfId="245" priority="264" operator="lessThan">
      <formula>0</formula>
    </cfRule>
  </conditionalFormatting>
  <conditionalFormatting sqref="S359:T360">
    <cfRule type="cellIs" dxfId="244" priority="263" operator="lessThan">
      <formula>0</formula>
    </cfRule>
  </conditionalFormatting>
  <conditionalFormatting sqref="S358:T358">
    <cfRule type="cellIs" dxfId="243" priority="262" operator="lessThan">
      <formula>0</formula>
    </cfRule>
  </conditionalFormatting>
  <conditionalFormatting sqref="S356:T357">
    <cfRule type="cellIs" dxfId="242" priority="261" operator="lessThan">
      <formula>0</formula>
    </cfRule>
  </conditionalFormatting>
  <conditionalFormatting sqref="S355:T355">
    <cfRule type="cellIs" dxfId="241" priority="260" operator="lessThan">
      <formula>0</formula>
    </cfRule>
  </conditionalFormatting>
  <conditionalFormatting sqref="S354:T354">
    <cfRule type="cellIs" dxfId="240" priority="259" operator="lessThan">
      <formula>0</formula>
    </cfRule>
  </conditionalFormatting>
  <conditionalFormatting sqref="S353:T353">
    <cfRule type="cellIs" dxfId="239" priority="258" operator="lessThan">
      <formula>0</formula>
    </cfRule>
  </conditionalFormatting>
  <conditionalFormatting sqref="S351:T352">
    <cfRule type="cellIs" dxfId="238" priority="257" operator="lessThan">
      <formula>0</formula>
    </cfRule>
  </conditionalFormatting>
  <conditionalFormatting sqref="S349:T350">
    <cfRule type="cellIs" dxfId="237" priority="256" operator="lessThan">
      <formula>0</formula>
    </cfRule>
  </conditionalFormatting>
  <conditionalFormatting sqref="S320:T321">
    <cfRule type="cellIs" dxfId="236" priority="255" operator="lessThan">
      <formula>0</formula>
    </cfRule>
  </conditionalFormatting>
  <conditionalFormatting sqref="S363:T363">
    <cfRule type="cellIs" dxfId="235" priority="254" operator="lessThan">
      <formula>0</formula>
    </cfRule>
  </conditionalFormatting>
  <conditionalFormatting sqref="D362:E362">
    <cfRule type="cellIs" dxfId="234" priority="253" operator="lessThan">
      <formula>0</formula>
    </cfRule>
  </conditionalFormatting>
  <conditionalFormatting sqref="H204:I204">
    <cfRule type="cellIs" dxfId="233" priority="239" operator="lessThan">
      <formula>0</formula>
    </cfRule>
    <cfRule type="cellIs" dxfId="232" priority="252" operator="lessThan">
      <formula>0</formula>
    </cfRule>
  </conditionalFormatting>
  <conditionalFormatting sqref="D208:E208">
    <cfRule type="cellIs" dxfId="231" priority="240" operator="lessThan">
      <formula>0</formula>
    </cfRule>
    <cfRule type="cellIs" dxfId="230" priority="251" operator="lessThan">
      <formula>0</formula>
    </cfRule>
  </conditionalFormatting>
  <conditionalFormatting sqref="D227:E227">
    <cfRule type="cellIs" dxfId="229" priority="245" operator="lessThan">
      <formula>0</formula>
    </cfRule>
    <cfRule type="cellIs" dxfId="228" priority="250" operator="lessThan">
      <formula>0</formula>
    </cfRule>
  </conditionalFormatting>
  <conditionalFormatting sqref="D224:E224">
    <cfRule type="cellIs" dxfId="227" priority="244" operator="lessThan">
      <formula>0</formula>
    </cfRule>
    <cfRule type="cellIs" dxfId="226" priority="249" operator="lessThan">
      <formula>0</formula>
    </cfRule>
  </conditionalFormatting>
  <conditionalFormatting sqref="D221:E221">
    <cfRule type="cellIs" dxfId="225" priority="243" operator="lessThan">
      <formula>0</formula>
    </cfRule>
    <cfRule type="cellIs" dxfId="224" priority="248" operator="lessThan">
      <formula>0</formula>
    </cfRule>
  </conditionalFormatting>
  <conditionalFormatting sqref="D217:E217">
    <cfRule type="cellIs" dxfId="223" priority="242" operator="lessThan">
      <formula>0</formula>
    </cfRule>
    <cfRule type="cellIs" dxfId="222" priority="247" operator="lessThan">
      <formula>0</formula>
    </cfRule>
  </conditionalFormatting>
  <conditionalFormatting sqref="D212:E212">
    <cfRule type="cellIs" dxfId="221" priority="241" operator="lessThan">
      <formula>0</formula>
    </cfRule>
    <cfRule type="cellIs" dxfId="220" priority="246" operator="lessThan">
      <formula>0</formula>
    </cfRule>
  </conditionalFormatting>
  <conditionalFormatting sqref="K204:L204">
    <cfRule type="cellIs" dxfId="219" priority="238" operator="lessThan">
      <formula>0</formula>
    </cfRule>
  </conditionalFormatting>
  <conditionalFormatting sqref="O204:P204">
    <cfRule type="cellIs" dxfId="218" priority="237" operator="lessThan">
      <formula>0</formula>
    </cfRule>
  </conditionalFormatting>
  <conditionalFormatting sqref="S229:T230">
    <cfRule type="cellIs" dxfId="217" priority="236" operator="lessThan">
      <formula>0</formula>
    </cfRule>
  </conditionalFormatting>
  <conditionalFormatting sqref="S227:T228">
    <cfRule type="cellIs" dxfId="216" priority="235" operator="lessThan">
      <formula>0</formula>
    </cfRule>
  </conditionalFormatting>
  <conditionalFormatting sqref="S226:T226">
    <cfRule type="cellIs" dxfId="215" priority="234" operator="lessThan">
      <formula>0</formula>
    </cfRule>
  </conditionalFormatting>
  <conditionalFormatting sqref="S224:T225">
    <cfRule type="cellIs" dxfId="214" priority="233" operator="lessThan">
      <formula>0</formula>
    </cfRule>
  </conditionalFormatting>
  <conditionalFormatting sqref="S223:T223">
    <cfRule type="cellIs" dxfId="213" priority="232" operator="lessThan">
      <formula>0</formula>
    </cfRule>
  </conditionalFormatting>
  <conditionalFormatting sqref="S222:T222">
    <cfRule type="cellIs" dxfId="212" priority="231" operator="lessThan">
      <formula>0</formula>
    </cfRule>
  </conditionalFormatting>
  <conditionalFormatting sqref="S221:T221">
    <cfRule type="cellIs" dxfId="211" priority="230" operator="lessThan">
      <formula>0</formula>
    </cfRule>
  </conditionalFormatting>
  <conditionalFormatting sqref="S219:T220">
    <cfRule type="cellIs" dxfId="210" priority="229" operator="lessThan">
      <formula>0</formula>
    </cfRule>
  </conditionalFormatting>
  <conditionalFormatting sqref="S217:T218">
    <cfRule type="cellIs" dxfId="209" priority="228" operator="lessThan">
      <formula>0</formula>
    </cfRule>
  </conditionalFormatting>
  <conditionalFormatting sqref="D231:E231">
    <cfRule type="cellIs" dxfId="208" priority="226" operator="lessThan">
      <formula>0</formula>
    </cfRule>
    <cfRule type="cellIs" dxfId="207" priority="227" operator="lessThan">
      <formula>0</formula>
    </cfRule>
  </conditionalFormatting>
  <conditionalFormatting sqref="D229:E229">
    <cfRule type="cellIs" dxfId="206" priority="224" operator="lessThan">
      <formula>0</formula>
    </cfRule>
    <cfRule type="cellIs" dxfId="205" priority="225" operator="lessThan">
      <formula>0</formula>
    </cfRule>
  </conditionalFormatting>
  <conditionalFormatting sqref="S231:T232">
    <cfRule type="cellIs" dxfId="204" priority="223" operator="lessThan">
      <formula>0</formula>
    </cfRule>
  </conditionalFormatting>
  <conditionalFormatting sqref="D233:E233">
    <cfRule type="cellIs" dxfId="203" priority="221" operator="lessThan">
      <formula>0</formula>
    </cfRule>
    <cfRule type="cellIs" dxfId="202" priority="222" operator="lessThan">
      <formula>0</formula>
    </cfRule>
  </conditionalFormatting>
  <conditionalFormatting sqref="S233:T234">
    <cfRule type="cellIs" dxfId="201" priority="220" operator="lessThan">
      <formula>0</formula>
    </cfRule>
  </conditionalFormatting>
  <conditionalFormatting sqref="G249:H249">
    <cfRule type="cellIs" dxfId="200" priority="206" operator="lessThan">
      <formula>0</formula>
    </cfRule>
    <cfRule type="cellIs" dxfId="199" priority="219" operator="lessThan">
      <formula>0</formula>
    </cfRule>
  </conditionalFormatting>
  <conditionalFormatting sqref="D253:E253">
    <cfRule type="cellIs" dxfId="198" priority="207" operator="lessThan">
      <formula>0</formula>
    </cfRule>
    <cfRule type="cellIs" dxfId="197" priority="218" operator="lessThan">
      <formula>0</formula>
    </cfRule>
  </conditionalFormatting>
  <conditionalFormatting sqref="D272:E272">
    <cfRule type="cellIs" dxfId="196" priority="212" operator="lessThan">
      <formula>0</formula>
    </cfRule>
    <cfRule type="cellIs" dxfId="195" priority="217" operator="lessThan">
      <formula>0</formula>
    </cfRule>
  </conditionalFormatting>
  <conditionalFormatting sqref="D269:E269">
    <cfRule type="cellIs" dxfId="194" priority="211" operator="lessThan">
      <formula>0</formula>
    </cfRule>
    <cfRule type="cellIs" dxfId="193" priority="216" operator="lessThan">
      <formula>0</formula>
    </cfRule>
  </conditionalFormatting>
  <conditionalFormatting sqref="D265:E265">
    <cfRule type="cellIs" dxfId="192" priority="210" operator="lessThan">
      <formula>0</formula>
    </cfRule>
    <cfRule type="cellIs" dxfId="191" priority="215" operator="lessThan">
      <formula>0</formula>
    </cfRule>
  </conditionalFormatting>
  <conditionalFormatting sqref="D262:E262">
    <cfRule type="cellIs" dxfId="190" priority="209" operator="lessThan">
      <formula>0</formula>
    </cfRule>
    <cfRule type="cellIs" dxfId="189" priority="214" operator="lessThan">
      <formula>0</formula>
    </cfRule>
  </conditionalFormatting>
  <conditionalFormatting sqref="D257:E257">
    <cfRule type="cellIs" dxfId="188" priority="208" operator="lessThan">
      <formula>0</formula>
    </cfRule>
    <cfRule type="cellIs" dxfId="187" priority="213" operator="lessThan">
      <formula>0</formula>
    </cfRule>
  </conditionalFormatting>
  <conditionalFormatting sqref="M249:N249">
    <cfRule type="cellIs" dxfId="186" priority="205" operator="lessThan">
      <formula>0</formula>
    </cfRule>
  </conditionalFormatting>
  <conditionalFormatting sqref="P249:Q249">
    <cfRule type="cellIs" dxfId="185" priority="204" operator="lessThan">
      <formula>0</formula>
    </cfRule>
  </conditionalFormatting>
  <conditionalFormatting sqref="S274:T274">
    <cfRule type="cellIs" dxfId="184" priority="203" operator="lessThan">
      <formula>0</formula>
    </cfRule>
  </conditionalFormatting>
  <conditionalFormatting sqref="S272:T273">
    <cfRule type="cellIs" dxfId="183" priority="202" operator="lessThan">
      <formula>0</formula>
    </cfRule>
  </conditionalFormatting>
  <conditionalFormatting sqref="S271:T271">
    <cfRule type="cellIs" dxfId="182" priority="201" operator="lessThan">
      <formula>0</formula>
    </cfRule>
  </conditionalFormatting>
  <conditionalFormatting sqref="S269:T270">
    <cfRule type="cellIs" dxfId="181" priority="200" operator="lessThan">
      <formula>0</formula>
    </cfRule>
  </conditionalFormatting>
  <conditionalFormatting sqref="S268:T268">
    <cfRule type="cellIs" dxfId="180" priority="199" operator="lessThan">
      <formula>0</formula>
    </cfRule>
  </conditionalFormatting>
  <conditionalFormatting sqref="S267:T267">
    <cfRule type="cellIs" dxfId="179" priority="198" operator="lessThan">
      <formula>0</formula>
    </cfRule>
  </conditionalFormatting>
  <conditionalFormatting sqref="S266:T266">
    <cfRule type="cellIs" dxfId="178" priority="197" operator="lessThan">
      <formula>0</formula>
    </cfRule>
  </conditionalFormatting>
  <conditionalFormatting sqref="S264:T265">
    <cfRule type="cellIs" dxfId="177" priority="196" operator="lessThan">
      <formula>0</formula>
    </cfRule>
  </conditionalFormatting>
  <conditionalFormatting sqref="S262:T263">
    <cfRule type="cellIs" dxfId="176" priority="195" operator="lessThan">
      <formula>0</formula>
    </cfRule>
  </conditionalFormatting>
  <conditionalFormatting sqref="S276:T276">
    <cfRule type="cellIs" dxfId="175" priority="194" operator="lessThan">
      <formula>0</formula>
    </cfRule>
  </conditionalFormatting>
  <conditionalFormatting sqref="D274">
    <cfRule type="cellIs" dxfId="174" priority="193" operator="lessThan">
      <formula>0</formula>
    </cfRule>
  </conditionalFormatting>
  <conditionalFormatting sqref="D277:E277">
    <cfRule type="cellIs" dxfId="173" priority="192" operator="lessThan">
      <formula>0</formula>
    </cfRule>
  </conditionalFormatting>
  <conditionalFormatting sqref="S277:T278">
    <cfRule type="cellIs" dxfId="172" priority="191" operator="lessThan">
      <formula>0</formula>
    </cfRule>
  </conditionalFormatting>
  <conditionalFormatting sqref="H610:I610">
    <cfRule type="cellIs" dxfId="171" priority="179" operator="lessThan">
      <formula>0</formula>
    </cfRule>
    <cfRule type="cellIs" dxfId="170" priority="190" operator="lessThan">
      <formula>0</formula>
    </cfRule>
  </conditionalFormatting>
  <conditionalFormatting sqref="D614:E614">
    <cfRule type="cellIs" dxfId="169" priority="180" operator="lessThan">
      <formula>0</formula>
    </cfRule>
    <cfRule type="cellIs" dxfId="168" priority="189" operator="lessThan">
      <formula>0</formula>
    </cfRule>
  </conditionalFormatting>
  <conditionalFormatting sqref="D630:E630">
    <cfRule type="cellIs" dxfId="167" priority="184" operator="lessThan">
      <formula>0</formula>
    </cfRule>
    <cfRule type="cellIs" dxfId="166" priority="188" operator="lessThan">
      <formula>0</formula>
    </cfRule>
  </conditionalFormatting>
  <conditionalFormatting sqref="D628:E628">
    <cfRule type="cellIs" dxfId="165" priority="183" operator="lessThan">
      <formula>0</formula>
    </cfRule>
    <cfRule type="cellIs" dxfId="164" priority="187" operator="lessThan">
      <formula>0</formula>
    </cfRule>
  </conditionalFormatting>
  <conditionalFormatting sqref="D623:E623">
    <cfRule type="cellIs" dxfId="163" priority="182" operator="lessThan">
      <formula>0</formula>
    </cfRule>
    <cfRule type="cellIs" dxfId="162" priority="186" operator="lessThan">
      <formula>0</formula>
    </cfRule>
  </conditionalFormatting>
  <conditionalFormatting sqref="D618:E618">
    <cfRule type="cellIs" dxfId="161" priority="181" operator="lessThan">
      <formula>0</formula>
    </cfRule>
    <cfRule type="cellIs" dxfId="160" priority="185" operator="lessThan">
      <formula>0</formula>
    </cfRule>
  </conditionalFormatting>
  <conditionalFormatting sqref="K610:L610">
    <cfRule type="cellIs" dxfId="159" priority="178" operator="lessThan">
      <formula>0</formula>
    </cfRule>
  </conditionalFormatting>
  <conditionalFormatting sqref="O610:P610">
    <cfRule type="cellIs" dxfId="158" priority="177" operator="lessThan">
      <formula>0</formula>
    </cfRule>
  </conditionalFormatting>
  <conditionalFormatting sqref="S630">
    <cfRule type="cellIs" dxfId="157" priority="175" operator="lessThan">
      <formula>0</formula>
    </cfRule>
  </conditionalFormatting>
  <conditionalFormatting sqref="S629:T629">
    <cfRule type="cellIs" dxfId="156" priority="174" operator="lessThan">
      <formula>0</formula>
    </cfRule>
  </conditionalFormatting>
  <conditionalFormatting sqref="S628:T628">
    <cfRule type="cellIs" dxfId="155" priority="173" operator="lessThan">
      <formula>0</formula>
    </cfRule>
  </conditionalFormatting>
  <conditionalFormatting sqref="S627:T627">
    <cfRule type="cellIs" dxfId="154" priority="172" operator="lessThan">
      <formula>0</formula>
    </cfRule>
  </conditionalFormatting>
  <conditionalFormatting sqref="S625:T626">
    <cfRule type="cellIs" dxfId="153" priority="171" operator="lessThan">
      <formula>0</formula>
    </cfRule>
  </conditionalFormatting>
  <conditionalFormatting sqref="S623:T624">
    <cfRule type="cellIs" dxfId="152" priority="170" operator="lessThan">
      <formula>0</formula>
    </cfRule>
  </conditionalFormatting>
  <conditionalFormatting sqref="D648:E648">
    <cfRule type="cellIs" dxfId="151" priority="160" operator="lessThan">
      <formula>0</formula>
    </cfRule>
    <cfRule type="cellIs" dxfId="150" priority="169" operator="lessThan">
      <formula>0</formula>
    </cfRule>
  </conditionalFormatting>
  <conditionalFormatting sqref="D662:E662">
    <cfRule type="cellIs" dxfId="149" priority="162" operator="lessThan">
      <formula>0</formula>
    </cfRule>
    <cfRule type="cellIs" dxfId="148" priority="166" operator="lessThan">
      <formula>0</formula>
    </cfRule>
  </conditionalFormatting>
  <conditionalFormatting sqref="D656:E656">
    <cfRule type="cellIs" dxfId="147" priority="161" operator="lessThan">
      <formula>0</formula>
    </cfRule>
    <cfRule type="cellIs" dxfId="146" priority="165" operator="lessThan">
      <formula>0</formula>
    </cfRule>
  </conditionalFormatting>
  <conditionalFormatting sqref="L645:M645">
    <cfRule type="cellIs" dxfId="145" priority="159" operator="lessThan">
      <formula>0</formula>
    </cfRule>
  </conditionalFormatting>
  <conditionalFormatting sqref="P645:Q645">
    <cfRule type="cellIs" dxfId="144" priority="158" operator="lessThan">
      <formula>0</formula>
    </cfRule>
  </conditionalFormatting>
  <conditionalFormatting sqref="S665">
    <cfRule type="cellIs" dxfId="143" priority="156" operator="lessThan">
      <formula>0</formula>
    </cfRule>
  </conditionalFormatting>
  <conditionalFormatting sqref="S664:T664">
    <cfRule type="cellIs" dxfId="142" priority="155" operator="lessThan">
      <formula>0</formula>
    </cfRule>
  </conditionalFormatting>
  <conditionalFormatting sqref="S663:T663">
    <cfRule type="cellIs" dxfId="141" priority="154" operator="lessThan">
      <formula>0</formula>
    </cfRule>
  </conditionalFormatting>
  <conditionalFormatting sqref="S662:T662">
    <cfRule type="cellIs" dxfId="140" priority="153" operator="lessThan">
      <formula>0</formula>
    </cfRule>
  </conditionalFormatting>
  <conditionalFormatting sqref="S660:T661">
    <cfRule type="cellIs" dxfId="139" priority="152" operator="lessThan">
      <formula>0</formula>
    </cfRule>
  </conditionalFormatting>
  <conditionalFormatting sqref="S658:T659">
    <cfRule type="cellIs" dxfId="138" priority="151" operator="lessThan">
      <formula>0</formula>
    </cfRule>
  </conditionalFormatting>
  <conditionalFormatting sqref="D651:E651">
    <cfRule type="cellIs" dxfId="137" priority="149" operator="lessThan">
      <formula>0</formula>
    </cfRule>
    <cfRule type="cellIs" dxfId="136" priority="150" operator="lessThan">
      <formula>0</formula>
    </cfRule>
  </conditionalFormatting>
  <conditionalFormatting sqref="H645:I645">
    <cfRule type="cellIs" dxfId="135" priority="148" operator="lessThan">
      <formula>0</formula>
    </cfRule>
  </conditionalFormatting>
  <conditionalFormatting sqref="H107:I107">
    <cfRule type="cellIs" dxfId="134" priority="134" operator="lessThan">
      <formula>0</formula>
    </cfRule>
    <cfRule type="cellIs" dxfId="133" priority="147" operator="lessThan">
      <formula>0</formula>
    </cfRule>
  </conditionalFormatting>
  <conditionalFormatting sqref="D111:E111">
    <cfRule type="cellIs" dxfId="132" priority="135" operator="lessThan">
      <formula>0</formula>
    </cfRule>
    <cfRule type="cellIs" dxfId="131" priority="146" operator="lessThan">
      <formula>0</formula>
    </cfRule>
  </conditionalFormatting>
  <conditionalFormatting sqref="D129:E129">
    <cfRule type="cellIs" dxfId="130" priority="140" operator="lessThan">
      <formula>0</formula>
    </cfRule>
    <cfRule type="cellIs" dxfId="129" priority="145" operator="lessThan">
      <formula>0</formula>
    </cfRule>
  </conditionalFormatting>
  <conditionalFormatting sqref="D127:E127">
    <cfRule type="cellIs" dxfId="128" priority="139" operator="lessThan">
      <formula>0</formula>
    </cfRule>
    <cfRule type="cellIs" dxfId="127" priority="144" operator="lessThan">
      <formula>0</formula>
    </cfRule>
  </conditionalFormatting>
  <conditionalFormatting sqref="D124:E124">
    <cfRule type="cellIs" dxfId="126" priority="138" operator="lessThan">
      <formula>0</formula>
    </cfRule>
    <cfRule type="cellIs" dxfId="125" priority="143" operator="lessThan">
      <formula>0</formula>
    </cfRule>
  </conditionalFormatting>
  <conditionalFormatting sqref="D120:E120">
    <cfRule type="cellIs" dxfId="124" priority="137" operator="lessThan">
      <formula>0</formula>
    </cfRule>
    <cfRule type="cellIs" dxfId="123" priority="142" operator="lessThan">
      <formula>0</formula>
    </cfRule>
  </conditionalFormatting>
  <conditionalFormatting sqref="D115:E115">
    <cfRule type="cellIs" dxfId="122" priority="136" operator="lessThan">
      <formula>0</formula>
    </cfRule>
    <cfRule type="cellIs" dxfId="121" priority="141" operator="lessThan">
      <formula>0</formula>
    </cfRule>
  </conditionalFormatting>
  <conditionalFormatting sqref="K107:L107">
    <cfRule type="cellIs" dxfId="120" priority="133" operator="lessThan">
      <formula>0</formula>
    </cfRule>
  </conditionalFormatting>
  <conditionalFormatting sqref="O107:P107">
    <cfRule type="cellIs" dxfId="119" priority="132" operator="lessThan">
      <formula>0</formula>
    </cfRule>
  </conditionalFormatting>
  <conditionalFormatting sqref="S129:T129">
    <cfRule type="cellIs" dxfId="118" priority="129" operator="lessThan">
      <formula>0</formula>
    </cfRule>
  </conditionalFormatting>
  <conditionalFormatting sqref="S127:T128">
    <cfRule type="cellIs" dxfId="117" priority="128" operator="lessThan">
      <formula>0</formula>
    </cfRule>
  </conditionalFormatting>
  <conditionalFormatting sqref="S125">
    <cfRule type="cellIs" dxfId="116" priority="127" operator="lessThan">
      <formula>0</formula>
    </cfRule>
  </conditionalFormatting>
  <conditionalFormatting sqref="S124:T124">
    <cfRule type="cellIs" dxfId="115" priority="126" operator="lessThan">
      <formula>0</formula>
    </cfRule>
  </conditionalFormatting>
  <conditionalFormatting sqref="S123:T123">
    <cfRule type="cellIs" dxfId="114" priority="125" operator="lessThan">
      <formula>0</formula>
    </cfRule>
  </conditionalFormatting>
  <conditionalFormatting sqref="S122">
    <cfRule type="cellIs" dxfId="113" priority="124" operator="lessThan">
      <formula>0</formula>
    </cfRule>
  </conditionalFormatting>
  <conditionalFormatting sqref="S120:T121">
    <cfRule type="cellIs" dxfId="112" priority="123" operator="lessThan">
      <formula>0</formula>
    </cfRule>
  </conditionalFormatting>
  <conditionalFormatting sqref="D137:E137">
    <cfRule type="cellIs" dxfId="111" priority="121" operator="lessThan">
      <formula>0</formula>
    </cfRule>
    <cfRule type="cellIs" dxfId="110" priority="122" operator="lessThan">
      <formula>0</formula>
    </cfRule>
  </conditionalFormatting>
  <conditionalFormatting sqref="D132:E132">
    <cfRule type="cellIs" dxfId="109" priority="119" operator="lessThan">
      <formula>0</formula>
    </cfRule>
    <cfRule type="cellIs" dxfId="108" priority="120" operator="lessThan">
      <formula>0</formula>
    </cfRule>
  </conditionalFormatting>
  <conditionalFormatting sqref="D140:E140">
    <cfRule type="cellIs" dxfId="107" priority="116" operator="lessThan">
      <formula>0</formula>
    </cfRule>
    <cfRule type="cellIs" dxfId="106" priority="117" operator="lessThan">
      <formula>0</formula>
    </cfRule>
  </conditionalFormatting>
  <conditionalFormatting sqref="D134">
    <cfRule type="cellIs" dxfId="105" priority="113" operator="lessThan">
      <formula>0</formula>
    </cfRule>
    <cfRule type="cellIs" dxfId="104" priority="114" operator="lessThan">
      <formula>0</formula>
    </cfRule>
  </conditionalFormatting>
  <conditionalFormatting sqref="G156:H156">
    <cfRule type="cellIs" dxfId="103" priority="99" operator="lessThan">
      <formula>0</formula>
    </cfRule>
    <cfRule type="cellIs" dxfId="102" priority="112" operator="lessThan">
      <formula>0</formula>
    </cfRule>
  </conditionalFormatting>
  <conditionalFormatting sqref="D161:E161">
    <cfRule type="cellIs" dxfId="101" priority="100" operator="lessThan">
      <formula>0</formula>
    </cfRule>
    <cfRule type="cellIs" dxfId="100" priority="111" operator="lessThan">
      <formula>0</formula>
    </cfRule>
  </conditionalFormatting>
  <conditionalFormatting sqref="D179:E179">
    <cfRule type="cellIs" dxfId="99" priority="105" operator="lessThan">
      <formula>0</formula>
    </cfRule>
    <cfRule type="cellIs" dxfId="98" priority="110" operator="lessThan">
      <formula>0</formula>
    </cfRule>
  </conditionalFormatting>
  <conditionalFormatting sqref="D176:E176">
    <cfRule type="cellIs" dxfId="97" priority="104" operator="lessThan">
      <formula>0</formula>
    </cfRule>
    <cfRule type="cellIs" dxfId="96" priority="109" operator="lessThan">
      <formula>0</formula>
    </cfRule>
  </conditionalFormatting>
  <conditionalFormatting sqref="D172:E172">
    <cfRule type="cellIs" dxfId="95" priority="103" operator="lessThan">
      <formula>0</formula>
    </cfRule>
    <cfRule type="cellIs" dxfId="94" priority="108" operator="lessThan">
      <formula>0</formula>
    </cfRule>
  </conditionalFormatting>
  <conditionalFormatting sqref="D169:E169">
    <cfRule type="cellIs" dxfId="93" priority="102" operator="lessThan">
      <formula>0</formula>
    </cfRule>
    <cfRule type="cellIs" dxfId="92" priority="107" operator="lessThan">
      <formula>0</formula>
    </cfRule>
  </conditionalFormatting>
  <conditionalFormatting sqref="D165:E165">
    <cfRule type="cellIs" dxfId="91" priority="101" operator="lessThan">
      <formula>0</formula>
    </cfRule>
    <cfRule type="cellIs" dxfId="90" priority="106" operator="lessThan">
      <formula>0</formula>
    </cfRule>
  </conditionalFormatting>
  <conditionalFormatting sqref="M156:N156">
    <cfRule type="cellIs" dxfId="89" priority="98" operator="lessThan">
      <formula>0</formula>
    </cfRule>
  </conditionalFormatting>
  <conditionalFormatting sqref="P156:Q156">
    <cfRule type="cellIs" dxfId="88" priority="97" operator="lessThan">
      <formula>0</formula>
    </cfRule>
  </conditionalFormatting>
  <conditionalFormatting sqref="S182:T182">
    <cfRule type="cellIs" dxfId="87" priority="96" operator="lessThan">
      <formula>0</formula>
    </cfRule>
  </conditionalFormatting>
  <conditionalFormatting sqref="S178">
    <cfRule type="cellIs" dxfId="86" priority="94" operator="lessThan">
      <formula>0</formula>
    </cfRule>
  </conditionalFormatting>
  <conditionalFormatting sqref="S176:T176">
    <cfRule type="cellIs" dxfId="85" priority="92" operator="lessThan">
      <formula>0</formula>
    </cfRule>
  </conditionalFormatting>
  <conditionalFormatting sqref="S175:T175">
    <cfRule type="cellIs" dxfId="84" priority="91" operator="lessThan">
      <formula>0</formula>
    </cfRule>
  </conditionalFormatting>
  <conditionalFormatting sqref="S174:T174">
    <cfRule type="cellIs" dxfId="83" priority="90" operator="lessThan">
      <formula>0</formula>
    </cfRule>
  </conditionalFormatting>
  <conditionalFormatting sqref="S169:T170">
    <cfRule type="cellIs" dxfId="82" priority="88" operator="lessThan">
      <formula>0</formula>
    </cfRule>
  </conditionalFormatting>
  <conditionalFormatting sqref="S186:T186">
    <cfRule type="cellIs" dxfId="81" priority="87" operator="lessThan">
      <formula>0</formula>
    </cfRule>
  </conditionalFormatting>
  <conditionalFormatting sqref="D185:E185">
    <cfRule type="cellIs" dxfId="80" priority="86" operator="lessThan">
      <formula>0</formula>
    </cfRule>
  </conditionalFormatting>
  <conditionalFormatting sqref="D188:E188">
    <cfRule type="cellIs" dxfId="79" priority="85" operator="lessThan">
      <formula>0</formula>
    </cfRule>
  </conditionalFormatting>
  <conditionalFormatting sqref="S184:T184">
    <cfRule type="cellIs" dxfId="78" priority="83" operator="lessThan">
      <formula>0</formula>
    </cfRule>
  </conditionalFormatting>
  <conditionalFormatting sqref="D182:E182">
    <cfRule type="cellIs" dxfId="77" priority="81" operator="lessThan">
      <formula>0</formula>
    </cfRule>
    <cfRule type="cellIs" dxfId="76" priority="82" operator="lessThan">
      <formula>0</formula>
    </cfRule>
  </conditionalFormatting>
  <conditionalFormatting sqref="H6:I6">
    <cfRule type="cellIs" dxfId="75" priority="66" operator="lessThan">
      <formula>0</formula>
    </cfRule>
    <cfRule type="cellIs" dxfId="74" priority="79" operator="lessThan">
      <formula>0</formula>
    </cfRule>
  </conditionalFormatting>
  <conditionalFormatting sqref="D10:E10">
    <cfRule type="cellIs" dxfId="73" priority="67" operator="lessThan">
      <formula>0</formula>
    </cfRule>
    <cfRule type="cellIs" dxfId="72" priority="78" operator="lessThan">
      <formula>0</formula>
    </cfRule>
  </conditionalFormatting>
  <conditionalFormatting sqref="D28:E28">
    <cfRule type="cellIs" dxfId="71" priority="72" operator="lessThan">
      <formula>0</formula>
    </cfRule>
    <cfRule type="cellIs" dxfId="70" priority="77" operator="lessThan">
      <formula>0</formula>
    </cfRule>
  </conditionalFormatting>
  <conditionalFormatting sqref="D25:E25">
    <cfRule type="cellIs" dxfId="69" priority="71" operator="lessThan">
      <formula>0</formula>
    </cfRule>
    <cfRule type="cellIs" dxfId="68" priority="76" operator="lessThan">
      <formula>0</formula>
    </cfRule>
  </conditionalFormatting>
  <conditionalFormatting sqref="D22:E22">
    <cfRule type="cellIs" dxfId="67" priority="70" operator="lessThan">
      <formula>0</formula>
    </cfRule>
    <cfRule type="cellIs" dxfId="66" priority="75" operator="lessThan">
      <formula>0</formula>
    </cfRule>
  </conditionalFormatting>
  <conditionalFormatting sqref="D19:E19">
    <cfRule type="cellIs" dxfId="65" priority="69" operator="lessThan">
      <formula>0</formula>
    </cfRule>
    <cfRule type="cellIs" dxfId="64" priority="74" operator="lessThan">
      <formula>0</formula>
    </cfRule>
  </conditionalFormatting>
  <conditionalFormatting sqref="D14:E14">
    <cfRule type="cellIs" dxfId="63" priority="68" operator="lessThan">
      <formula>0</formula>
    </cfRule>
    <cfRule type="cellIs" dxfId="62" priority="73" operator="lessThan">
      <formula>0</formula>
    </cfRule>
  </conditionalFormatting>
  <conditionalFormatting sqref="K6:L6">
    <cfRule type="cellIs" dxfId="61" priority="65" operator="lessThan">
      <formula>0</formula>
    </cfRule>
  </conditionalFormatting>
  <conditionalFormatting sqref="O6:P6">
    <cfRule type="cellIs" dxfId="60" priority="64" operator="lessThan">
      <formula>0</formula>
    </cfRule>
  </conditionalFormatting>
  <conditionalFormatting sqref="S28:T28">
    <cfRule type="cellIs" dxfId="59" priority="63" operator="lessThan">
      <formula>0</formula>
    </cfRule>
  </conditionalFormatting>
  <conditionalFormatting sqref="S26:T27">
    <cfRule type="cellIs" dxfId="58" priority="62" operator="lessThan">
      <formula>0</formula>
    </cfRule>
  </conditionalFormatting>
  <conditionalFormatting sqref="S24">
    <cfRule type="cellIs" dxfId="57" priority="61" operator="lessThan">
      <formula>0</formula>
    </cfRule>
  </conditionalFormatting>
  <conditionalFormatting sqref="S23:T23">
    <cfRule type="cellIs" dxfId="56" priority="60" operator="lessThan">
      <formula>0</formula>
    </cfRule>
  </conditionalFormatting>
  <conditionalFormatting sqref="S22:T22">
    <cfRule type="cellIs" dxfId="55" priority="59" operator="lessThan">
      <formula>0</formula>
    </cfRule>
  </conditionalFormatting>
  <conditionalFormatting sqref="S21">
    <cfRule type="cellIs" dxfId="54" priority="58" operator="lessThan">
      <formula>0</formula>
    </cfRule>
  </conditionalFormatting>
  <conditionalFormatting sqref="S19:T20">
    <cfRule type="cellIs" dxfId="53" priority="57" operator="lessThan">
      <formula>0</formula>
    </cfRule>
  </conditionalFormatting>
  <conditionalFormatting sqref="D36:E36">
    <cfRule type="cellIs" dxfId="52" priority="55" operator="lessThan">
      <formula>0</formula>
    </cfRule>
    <cfRule type="cellIs" dxfId="51" priority="56" operator="lessThan">
      <formula>0</formula>
    </cfRule>
  </conditionalFormatting>
  <conditionalFormatting sqref="D30:E30">
    <cfRule type="cellIs" dxfId="50" priority="53" operator="lessThan">
      <formula>0</formula>
    </cfRule>
    <cfRule type="cellIs" dxfId="49" priority="54" operator="lessThan">
      <formula>0</formula>
    </cfRule>
  </conditionalFormatting>
  <conditionalFormatting sqref="D41:E41">
    <cfRule type="cellIs" dxfId="48" priority="51" operator="lessThan">
      <formula>0</formula>
    </cfRule>
    <cfRule type="cellIs" dxfId="47" priority="52" operator="lessThan">
      <formula>0</formula>
    </cfRule>
  </conditionalFormatting>
  <conditionalFormatting sqref="D33">
    <cfRule type="cellIs" dxfId="46" priority="49" operator="lessThan">
      <formula>0</formula>
    </cfRule>
    <cfRule type="cellIs" dxfId="45" priority="50" operator="lessThan">
      <formula>0</formula>
    </cfRule>
  </conditionalFormatting>
  <conditionalFormatting sqref="D38:E38">
    <cfRule type="cellIs" dxfId="44" priority="47" operator="lessThan">
      <formula>0</formula>
    </cfRule>
    <cfRule type="cellIs" dxfId="43" priority="48" operator="lessThan">
      <formula>0</formula>
    </cfRule>
  </conditionalFormatting>
  <conditionalFormatting sqref="G57:H57">
    <cfRule type="cellIs" dxfId="42" priority="32" operator="lessThan">
      <formula>0</formula>
    </cfRule>
    <cfRule type="cellIs" dxfId="41" priority="45" operator="lessThan">
      <formula>0</formula>
    </cfRule>
  </conditionalFormatting>
  <conditionalFormatting sqref="D62:E62">
    <cfRule type="cellIs" dxfId="40" priority="33" operator="lessThan">
      <formula>0</formula>
    </cfRule>
    <cfRule type="cellIs" dxfId="39" priority="44" operator="lessThan">
      <formula>0</formula>
    </cfRule>
  </conditionalFormatting>
  <conditionalFormatting sqref="D80:E80">
    <cfRule type="cellIs" dxfId="38" priority="38" operator="lessThan">
      <formula>0</formula>
    </cfRule>
    <cfRule type="cellIs" dxfId="37" priority="43" operator="lessThan">
      <formula>0</formula>
    </cfRule>
  </conditionalFormatting>
  <conditionalFormatting sqref="D77:E77">
    <cfRule type="cellIs" dxfId="36" priority="37" operator="lessThan">
      <formula>0</formula>
    </cfRule>
    <cfRule type="cellIs" dxfId="35" priority="42" operator="lessThan">
      <formula>0</formula>
    </cfRule>
  </conditionalFormatting>
  <conditionalFormatting sqref="D73:E73">
    <cfRule type="cellIs" dxfId="34" priority="36" operator="lessThan">
      <formula>0</formula>
    </cfRule>
    <cfRule type="cellIs" dxfId="33" priority="41" operator="lessThan">
      <formula>0</formula>
    </cfRule>
  </conditionalFormatting>
  <conditionalFormatting sqref="D70:E70">
    <cfRule type="cellIs" dxfId="32" priority="35" operator="lessThan">
      <formula>0</formula>
    </cfRule>
    <cfRule type="cellIs" dxfId="31" priority="40" operator="lessThan">
      <formula>0</formula>
    </cfRule>
  </conditionalFormatting>
  <conditionalFormatting sqref="D66:E66">
    <cfRule type="cellIs" dxfId="30" priority="34" operator="lessThan">
      <formula>0</formula>
    </cfRule>
    <cfRule type="cellIs" dxfId="29" priority="39" operator="lessThan">
      <formula>0</formula>
    </cfRule>
  </conditionalFormatting>
  <conditionalFormatting sqref="M57:N57">
    <cfRule type="cellIs" dxfId="28" priority="31" operator="lessThan">
      <formula>0</formula>
    </cfRule>
  </conditionalFormatting>
  <conditionalFormatting sqref="P57:Q57">
    <cfRule type="cellIs" dxfId="27" priority="30" operator="lessThan">
      <formula>0</formula>
    </cfRule>
  </conditionalFormatting>
  <conditionalFormatting sqref="S83:T83">
    <cfRule type="cellIs" dxfId="26" priority="29" operator="lessThan">
      <formula>0</formula>
    </cfRule>
  </conditionalFormatting>
  <conditionalFormatting sqref="S79">
    <cfRule type="cellIs" dxfId="25" priority="28" operator="lessThan">
      <formula>0</formula>
    </cfRule>
  </conditionalFormatting>
  <conditionalFormatting sqref="S77:T77">
    <cfRule type="cellIs" dxfId="24" priority="27" operator="lessThan">
      <formula>0</formula>
    </cfRule>
  </conditionalFormatting>
  <conditionalFormatting sqref="S76:T76">
    <cfRule type="cellIs" dxfId="23" priority="26" operator="lessThan">
      <formula>0</formula>
    </cfRule>
  </conditionalFormatting>
  <conditionalFormatting sqref="S75:T75">
    <cfRule type="cellIs" dxfId="22" priority="25" operator="lessThan">
      <formula>0</formula>
    </cfRule>
  </conditionalFormatting>
  <conditionalFormatting sqref="S70:T71">
    <cfRule type="cellIs" dxfId="21" priority="24" operator="lessThan">
      <formula>0</formula>
    </cfRule>
  </conditionalFormatting>
  <conditionalFormatting sqref="S87:T87">
    <cfRule type="cellIs" dxfId="20" priority="23" operator="lessThan">
      <formula>0</formula>
    </cfRule>
  </conditionalFormatting>
  <conditionalFormatting sqref="D86:E86">
    <cfRule type="cellIs" dxfId="19" priority="22" operator="lessThan">
      <formula>0</formula>
    </cfRule>
  </conditionalFormatting>
  <conditionalFormatting sqref="S85:T85">
    <cfRule type="cellIs" dxfId="18" priority="20" operator="lessThan">
      <formula>0</formula>
    </cfRule>
  </conditionalFormatting>
  <conditionalFormatting sqref="D83:E83">
    <cfRule type="cellIs" dxfId="17" priority="18" operator="lessThan">
      <formula>0</formula>
    </cfRule>
    <cfRule type="cellIs" dxfId="16" priority="19" operator="lessThan">
      <formula>0</formula>
    </cfRule>
  </conditionalFormatting>
  <conditionalFormatting sqref="D91:E91">
    <cfRule type="cellIs" dxfId="15" priority="17" operator="lessThan">
      <formula>0</formula>
    </cfRule>
  </conditionalFormatting>
  <conditionalFormatting sqref="D89:E89">
    <cfRule type="cellIs" dxfId="14" priority="16" operator="lessThan">
      <formula>0</formula>
    </cfRule>
  </conditionalFormatting>
  <conditionalFormatting sqref="S41:T41">
    <cfRule type="cellIs" dxfId="13" priority="15" operator="lessThan">
      <formula>0</formula>
    </cfRule>
  </conditionalFormatting>
  <conditionalFormatting sqref="S39:T39">
    <cfRule type="cellIs" dxfId="12" priority="13" operator="lessThan">
      <formula>0</formula>
    </cfRule>
  </conditionalFormatting>
  <conditionalFormatting sqref="S36:T37">
    <cfRule type="cellIs" dxfId="11" priority="12" operator="lessThan">
      <formula>0</formula>
    </cfRule>
  </conditionalFormatting>
  <conditionalFormatting sqref="S34:T35">
    <cfRule type="cellIs" dxfId="10" priority="11" operator="lessThan">
      <formula>0</formula>
    </cfRule>
  </conditionalFormatting>
  <conditionalFormatting sqref="S32:T32">
    <cfRule type="cellIs" dxfId="9" priority="10" operator="lessThan">
      <formula>0</formula>
    </cfRule>
  </conditionalFormatting>
  <conditionalFormatting sqref="S30:T30">
    <cfRule type="cellIs" dxfId="8" priority="9" operator="lessThan">
      <formula>0</formula>
    </cfRule>
  </conditionalFormatting>
  <conditionalFormatting sqref="S91:T92">
    <cfRule type="cellIs" dxfId="7" priority="8" operator="lessThan">
      <formula>0</formula>
    </cfRule>
  </conditionalFormatting>
  <conditionalFormatting sqref="S89:T89">
    <cfRule type="cellIs" dxfId="6" priority="7" operator="lessThan">
      <formula>0</formula>
    </cfRule>
  </conditionalFormatting>
  <conditionalFormatting sqref="S140:T141">
    <cfRule type="cellIs" dxfId="5" priority="6" operator="lessThan">
      <formula>0</formula>
    </cfRule>
  </conditionalFormatting>
  <conditionalFormatting sqref="S138:T138">
    <cfRule type="cellIs" dxfId="4" priority="5" operator="lessThan">
      <formula>0</formula>
    </cfRule>
  </conditionalFormatting>
  <conditionalFormatting sqref="S135:T136">
    <cfRule type="cellIs" dxfId="3" priority="4" operator="lessThan">
      <formula>0</formula>
    </cfRule>
  </conditionalFormatting>
  <conditionalFormatting sqref="S133:T133">
    <cfRule type="cellIs" dxfId="2" priority="3" operator="lessThan">
      <formula>0</formula>
    </cfRule>
  </conditionalFormatting>
  <conditionalFormatting sqref="S131:T131">
    <cfRule type="cellIs" dxfId="1" priority="2" operator="lessThan">
      <formula>0</formula>
    </cfRule>
  </conditionalFormatting>
  <conditionalFormatting sqref="S188:T188">
    <cfRule type="cellIs" dxfId="0" priority="1" operator="lessThan">
      <formula>0</formula>
    </cfRule>
  </conditionalFormatting>
  <hyperlinks>
    <hyperlink ref="BG390" r:id="rId1" xr:uid="{0A30F4DD-ABCB-4802-87DE-9D1814B44582}"/>
    <hyperlink ref="BG431" r:id="rId2" xr:uid="{09A50659-B530-4246-ACAC-3AE3E8B7B368}"/>
    <hyperlink ref="BG471" r:id="rId3" xr:uid="{5E04090D-1D67-4363-9E0F-0EAD47D7E424}"/>
    <hyperlink ref="BG510" r:id="rId4" xr:uid="{4F73A093-74A8-4F95-92BD-42C7E2877D1B}"/>
    <hyperlink ref="BG548" r:id="rId5" xr:uid="{15E03C2D-9CA6-4B7F-9C05-A34AAB0ACF4D}"/>
    <hyperlink ref="BG585" r:id="rId6" xr:uid="{6589383E-177A-48A2-B282-A796F6E40EAF}"/>
    <hyperlink ref="BG305" r:id="rId7" xr:uid="{303B612E-FB36-48F1-ACE2-6555BD667196}"/>
    <hyperlink ref="BG348" r:id="rId8" xr:uid="{018289A9-E75D-466A-A780-E19DD87632B1}"/>
    <hyperlink ref="BG216" r:id="rId9" xr:uid="{C6C91B3A-F3B6-4EDC-B023-53EF0E914698}"/>
    <hyperlink ref="BG261" r:id="rId10" xr:uid="{6C0FFD89-A56E-4672-AEB1-53363A432611}"/>
    <hyperlink ref="BG622" r:id="rId11" xr:uid="{E7489CAF-F0D9-4427-83E6-281FE9E2C5C7}"/>
    <hyperlink ref="BG657" r:id="rId12" xr:uid="{1EFAD301-2473-41B1-97E7-5AA5E5D6812C}"/>
    <hyperlink ref="BG119" r:id="rId13" xr:uid="{14C9A2B9-37D1-44AD-A405-3F8FF3109A21}"/>
    <hyperlink ref="BG168" r:id="rId14" xr:uid="{388BF259-88BC-4BC5-B0DF-407A3A01304A}"/>
    <hyperlink ref="BG18" r:id="rId15" xr:uid="{7545DC5A-6047-416E-BD1B-EB2CA1A5906B}"/>
    <hyperlink ref="BG69" r:id="rId16" xr:uid="{07030FFD-F9BF-4799-BEC7-39469582AC88}"/>
  </hyperlinks>
  <pageMargins left="0.7" right="0.7" top="0.75" bottom="0.75" header="0.3" footer="0.3"/>
  <pageSetup paperSize="9" orientation="portrait" horizontalDpi="4294967294" verticalDpi="0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2021-05-12T08:53:36Z</dcterms:created>
  <dcterms:modified xsi:type="dcterms:W3CDTF">2021-06-07T07:45:01Z</dcterms:modified>
</cp:coreProperties>
</file>